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LBSP-1 - kategoria szczególna\!Nowe na strone\PROCEDURA WYDANIA ZEZWOLENIA\"/>
    </mc:Choice>
  </mc:AlternateContent>
  <workbookProtection workbookAlgorithmName="SHA-512" workbookHashValue="0OnBRvb1PAWtTefkejLUvTSi8X1m3yYwICNBEWSkwUJ3a3NvF2upE8YQGZetlSLNEmeroADYViQ4xDsSvJf0Xg==" workbookSaltValue="Sm/r5AP51aoXphb7o7EFKA==" workbookSpinCount="100000" lockStructure="1"/>
  <bookViews>
    <workbookView xWindow="0" yWindow="0" windowWidth="21696" windowHeight="9768"/>
  </bookViews>
  <sheets>
    <sheet name="Calculation" sheetId="1" r:id="rId1"/>
    <sheet name="Hintergrund" sheetId="2" state="hidden" r:id="rId2"/>
  </sheets>
  <definedNames>
    <definedName name="Drohnentyp">Hintergrund!$D$1:$F$1</definedName>
    <definedName name="Höhenmessfehler">Hintergrund!$B$1:$B$2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F33" i="1" l="1"/>
  <c r="L35" i="1" l="1"/>
  <c r="K35" i="1"/>
  <c r="D42" i="1" l="1"/>
  <c r="J24" i="1" l="1"/>
  <c r="J35" i="1" s="1"/>
  <c r="J43" i="1" s="1"/>
  <c r="K12" i="1" l="1"/>
  <c r="K11" i="1"/>
  <c r="K10" i="1"/>
  <c r="K9" i="1"/>
  <c r="H47" i="1"/>
  <c r="H48" i="1"/>
  <c r="H17" i="1"/>
  <c r="H18" i="1"/>
  <c r="F5" i="1"/>
  <c r="F9" i="1"/>
  <c r="G50" i="1"/>
  <c r="C36" i="1" l="1"/>
  <c r="H46" i="1"/>
  <c r="H36" i="1"/>
  <c r="F60" i="1"/>
  <c r="C26" i="1"/>
  <c r="K36" i="1" l="1"/>
  <c r="L36" i="1"/>
  <c r="F37" i="1"/>
  <c r="L39" i="1" s="1"/>
  <c r="F62" i="1"/>
  <c r="F63" i="1" s="1"/>
  <c r="L50" i="1" l="1"/>
  <c r="F50" i="1" s="1"/>
  <c r="F39" i="1"/>
  <c r="N10" i="1"/>
  <c r="C25" i="1" l="1"/>
  <c r="F65" i="1"/>
  <c r="D25" i="1" l="1"/>
  <c r="L25" i="1" s="1"/>
  <c r="H25" i="1"/>
  <c r="G46" i="1" l="1"/>
  <c r="G36" i="1"/>
  <c r="D46" i="1" l="1"/>
  <c r="E46" i="1"/>
  <c r="D36" i="1"/>
  <c r="E36" i="1"/>
  <c r="F12" i="1"/>
  <c r="F11" i="1"/>
  <c r="F10" i="1"/>
  <c r="F27" i="1" l="1"/>
  <c r="F56" i="1" l="1"/>
  <c r="H56" i="1" s="1"/>
  <c r="D26" i="1"/>
  <c r="L26" i="1" s="1"/>
  <c r="G25" i="1" l="1"/>
  <c r="E26" i="1"/>
  <c r="G26" i="1"/>
  <c r="F28" i="1"/>
  <c r="L30" i="1" s="1"/>
  <c r="F30" i="1" s="1"/>
  <c r="E25" i="1"/>
  <c r="F19" i="1" l="1"/>
  <c r="F18" i="1"/>
  <c r="C37" i="1" s="1"/>
</calcChain>
</file>

<file path=xl/sharedStrings.xml><?xml version="1.0" encoding="utf-8"?>
<sst xmlns="http://schemas.openxmlformats.org/spreadsheetml/2006/main" count="182" uniqueCount="99">
  <si>
    <t>=</t>
  </si>
  <si>
    <t>m/s</t>
  </si>
  <si>
    <t>CD</t>
  </si>
  <si>
    <t>m</t>
  </si>
  <si>
    <t>≥</t>
  </si>
  <si>
    <t>s</t>
  </si>
  <si>
    <t>Lateral</t>
  </si>
  <si>
    <r>
      <t>v</t>
    </r>
    <r>
      <rPr>
        <vertAlign val="subscript"/>
        <sz val="12"/>
        <color theme="1"/>
        <rFont val="Calibri"/>
        <family val="2"/>
        <scheme val="minor"/>
      </rPr>
      <t>Wind</t>
    </r>
  </si>
  <si>
    <r>
      <t>v</t>
    </r>
    <r>
      <rPr>
        <vertAlign val="subscript"/>
        <sz val="12"/>
        <color theme="1"/>
        <rFont val="Calibri"/>
        <family val="2"/>
        <scheme val="minor"/>
      </rPr>
      <t>Z</t>
    </r>
  </si>
  <si>
    <t>GV</t>
  </si>
  <si>
    <t>Attitude Line of Sight</t>
  </si>
  <si>
    <t>Detection Line of Sight</t>
  </si>
  <si>
    <r>
      <t>ALOS</t>
    </r>
    <r>
      <rPr>
        <vertAlign val="subscript"/>
        <sz val="12"/>
        <color theme="1"/>
        <rFont val="Calibri"/>
        <family val="2"/>
        <scheme val="minor"/>
      </rPr>
      <t>max</t>
    </r>
  </si>
  <si>
    <r>
      <t>DLOS</t>
    </r>
    <r>
      <rPr>
        <vertAlign val="subscript"/>
        <sz val="12"/>
        <color theme="1"/>
        <rFont val="Calibri"/>
        <family val="2"/>
        <scheme val="minor"/>
      </rPr>
      <t>max</t>
    </r>
  </si>
  <si>
    <r>
      <t>VLOS</t>
    </r>
    <r>
      <rPr>
        <vertAlign val="subscript"/>
        <sz val="12"/>
        <color theme="1"/>
        <rFont val="Calibri"/>
        <family val="2"/>
        <scheme val="minor"/>
      </rPr>
      <t>max</t>
    </r>
  </si>
  <si>
    <t>Version:</t>
  </si>
  <si>
    <t>Name:</t>
  </si>
  <si>
    <t>e-ID:</t>
  </si>
  <si>
    <t>Type</t>
  </si>
  <si>
    <t>Maximum operational speed</t>
  </si>
  <si>
    <t>Altitude measurement error</t>
  </si>
  <si>
    <t xml:space="preserve"> - barometric</t>
  </si>
  <si>
    <t xml:space="preserve"> - GPS-based</t>
  </si>
  <si>
    <t>fixed-wing aircraft</t>
  </si>
  <si>
    <t>multirotor</t>
  </si>
  <si>
    <t>rotorcraft</t>
  </si>
  <si>
    <t>termination for GRB</t>
  </si>
  <si>
    <t>stopping</t>
  </si>
  <si>
    <t>180° turn</t>
  </si>
  <si>
    <t xml:space="preserve"> 45° pitch angle via a constant circular path until level flight</t>
  </si>
  <si>
    <t>simplified approach (1:1 rule)</t>
  </si>
  <si>
    <t>termination by triggering of the parachute</t>
  </si>
  <si>
    <t>Controlled steering towards flight geography</t>
  </si>
  <si>
    <t>GPS – inaccuracy</t>
  </si>
  <si>
    <t>Position holding error</t>
  </si>
  <si>
    <t>Map error</t>
  </si>
  <si>
    <t>Response time of remote pilot / automatic</t>
  </si>
  <si>
    <t>own value:</t>
  </si>
  <si>
    <t>Height flight geography</t>
  </si>
  <si>
    <r>
      <rPr>
        <u/>
        <sz val="12"/>
        <color theme="1"/>
        <rFont val="Calibri"/>
        <family val="2"/>
        <scheme val="minor"/>
      </rPr>
      <t>Minimum</t>
    </r>
    <r>
      <rPr>
        <sz val="12"/>
        <color theme="1"/>
        <rFont val="Calibri"/>
        <family val="2"/>
        <scheme val="minor"/>
      </rPr>
      <t xml:space="preserve"> height of particularly small FG</t>
    </r>
  </si>
  <si>
    <r>
      <rPr>
        <u/>
        <sz val="12"/>
        <color theme="1"/>
        <rFont val="Calibri"/>
        <family val="2"/>
        <scheme val="minor"/>
      </rPr>
      <t>Minimum</t>
    </r>
    <r>
      <rPr>
        <sz val="12"/>
        <color theme="1"/>
        <rFont val="Calibri"/>
        <family val="2"/>
        <scheme val="minor"/>
      </rPr>
      <t xml:space="preserve"> width of particularly small FG</t>
    </r>
  </si>
  <si>
    <t>Reaction distance</t>
  </si>
  <si>
    <t>Response height</t>
  </si>
  <si>
    <t>Method of termination:</t>
  </si>
  <si>
    <t>m   (Tip: Add a reasonable safety buffer in the kml)</t>
  </si>
  <si>
    <t>Time to open the parachute</t>
  </si>
  <si>
    <t>Maximum permissible wind speed for operation</t>
  </si>
  <si>
    <t>Rate of descent with the parachute open</t>
  </si>
  <si>
    <r>
      <t>Ground Visibility (</t>
    </r>
    <r>
      <rPr>
        <b/>
        <sz val="12"/>
        <color theme="1"/>
        <rFont val="Calibri"/>
        <family val="2"/>
        <scheme val="minor"/>
      </rPr>
      <t>GV</t>
    </r>
    <r>
      <rPr>
        <b/>
        <vertAlign val="subscript"/>
        <sz val="12"/>
        <color theme="1"/>
        <rFont val="Calibri"/>
        <family val="2"/>
        <scheme val="minor"/>
      </rPr>
      <t>max</t>
    </r>
    <r>
      <rPr>
        <b/>
        <sz val="12"/>
        <color theme="1"/>
        <rFont val="Calibri"/>
        <family val="2"/>
        <scheme val="minor"/>
      </rPr>
      <t xml:space="preserve"> = 5000 m</t>
    </r>
    <r>
      <rPr>
        <sz val="12"/>
        <color theme="1"/>
        <rFont val="Calibri"/>
        <family val="2"/>
        <scheme val="minor"/>
      </rPr>
      <t>)</t>
    </r>
  </si>
  <si>
    <t>Information about the applicant:</t>
  </si>
  <si>
    <t>Date:</t>
  </si>
  <si>
    <t>ballistic approach</t>
  </si>
  <si>
    <t>power switched off and gliding</t>
  </si>
  <si>
    <t>power switched off with no gliding</t>
  </si>
  <si>
    <t>Calculation tool for defining Flight Geography, Contingency Volume and Ground Risk Buffer</t>
  </si>
  <si>
    <t>Contingency manoeuvre:</t>
  </si>
  <si>
    <t>Distance for Contingency manoeuvre</t>
  </si>
  <si>
    <t>Vertical</t>
  </si>
  <si>
    <t>maximum possible VLOS distance</t>
  </si>
  <si>
    <t>Contingency manoeuvre</t>
  </si>
  <si>
    <t>Drone type</t>
  </si>
  <si>
    <t>Conversion of forward kinetic energy into potential energy</t>
  </si>
  <si>
    <t>General selection</t>
  </si>
  <si>
    <r>
      <rPr>
        <b/>
        <sz val="12"/>
        <color theme="1"/>
        <rFont val="Calibri"/>
        <family val="2"/>
        <scheme val="minor"/>
      </rPr>
      <t>Minimum</t>
    </r>
    <r>
      <rPr>
        <sz val="12"/>
        <color theme="1"/>
        <rFont val="Calibri"/>
        <family val="2"/>
        <scheme val="minor"/>
      </rPr>
      <t xml:space="preserve"> lateral dimension of CV</t>
    </r>
  </si>
  <si>
    <r>
      <rPr>
        <b/>
        <sz val="12"/>
        <color theme="1"/>
        <rFont val="Calibri"/>
        <family val="2"/>
        <scheme val="minor"/>
      </rPr>
      <t>Minimum</t>
    </r>
    <r>
      <rPr>
        <sz val="12"/>
        <color theme="1"/>
        <rFont val="Calibri"/>
        <family val="2"/>
        <scheme val="minor"/>
      </rPr>
      <t xml:space="preserve"> vertical dimension of CV</t>
    </r>
  </si>
  <si>
    <r>
      <rPr>
        <b/>
        <sz val="12"/>
        <color theme="1"/>
        <rFont val="Calibri"/>
        <family val="2"/>
        <scheme val="minor"/>
      </rPr>
      <t>Minimum</t>
    </r>
    <r>
      <rPr>
        <sz val="12"/>
        <color theme="1"/>
        <rFont val="Calibri"/>
        <family val="2"/>
        <scheme val="minor"/>
      </rPr>
      <t xml:space="preserve"> lateral dimension of GRB</t>
    </r>
  </si>
  <si>
    <t xml:space="preserve"> 1.7</t>
  </si>
  <si>
    <t>Exemplary representation of flight geography, contingency volume, ground risk buffer and adjacent volume:</t>
  </si>
  <si>
    <t>8.1 Minimum dimension of flight geography (FG)</t>
  </si>
  <si>
    <t>8.2 Calculation of contingency volume (CV)</t>
  </si>
  <si>
    <t>8.3 Calculation of ground risk buffer (GRB)</t>
  </si>
  <si>
    <t>8.4 Calculation of adjacent volume</t>
  </si>
  <si>
    <t>Adjacent volume lateral</t>
  </si>
  <si>
    <t>Adjacent volume vertical</t>
  </si>
  <si>
    <r>
      <rPr>
        <sz val="12"/>
        <color theme="1"/>
        <rFont val="Calibri"/>
        <family val="2"/>
        <scheme val="minor"/>
      </rPr>
      <t>v</t>
    </r>
    <r>
      <rPr>
        <vertAlign val="subscript"/>
        <sz val="12"/>
        <color theme="1"/>
        <rFont val="Calibri"/>
        <family val="2"/>
        <scheme val="minor"/>
      </rPr>
      <t>0</t>
    </r>
  </si>
  <si>
    <r>
      <t>t</t>
    </r>
    <r>
      <rPr>
        <vertAlign val="subscript"/>
        <sz val="12"/>
        <color theme="1"/>
        <rFont val="Calibri"/>
        <family val="2"/>
        <scheme val="minor"/>
      </rPr>
      <t>RZ</t>
    </r>
  </si>
  <si>
    <t>9 Calculation of maximum possible VLOS distance</t>
  </si>
  <si>
    <t>ft</t>
  </si>
  <si>
    <t>Glide ratio</t>
  </si>
  <si>
    <t>E</t>
  </si>
  <si>
    <r>
      <t xml:space="preserve">based on equations of </t>
    </r>
    <r>
      <rPr>
        <i/>
        <sz val="12"/>
        <color theme="1"/>
        <rFont val="Calibri"/>
        <family val="2"/>
        <scheme val="minor"/>
      </rPr>
      <t xml:space="preserve">Guidance on Defining flight geography, contingency volume and </t>
    </r>
  </si>
  <si>
    <r>
      <rPr>
        <i/>
        <sz val="12"/>
        <color theme="1"/>
        <rFont val="Calibri"/>
        <family val="2"/>
        <scheme val="minor"/>
      </rPr>
      <t xml:space="preserve">ground risk buffer </t>
    </r>
    <r>
      <rPr>
        <sz val="12"/>
        <color theme="1"/>
        <rFont val="Calibri"/>
        <family val="2"/>
        <scheme val="minor"/>
      </rPr>
      <t>in revision 1.6 (20.11.2023)</t>
    </r>
  </si>
  <si>
    <r>
      <t>H</t>
    </r>
    <r>
      <rPr>
        <vertAlign val="subscript"/>
        <sz val="12"/>
        <color theme="1"/>
        <rFont val="Calibri"/>
        <family val="2"/>
        <scheme val="minor"/>
      </rPr>
      <t>∆</t>
    </r>
  </si>
  <si>
    <r>
      <t>S</t>
    </r>
    <r>
      <rPr>
        <vertAlign val="subscript"/>
        <sz val="12"/>
        <color theme="1"/>
        <rFont val="Calibri"/>
        <family val="2"/>
        <scheme val="minor"/>
      </rPr>
      <t>GPS</t>
    </r>
  </si>
  <si>
    <r>
      <t>S</t>
    </r>
    <r>
      <rPr>
        <vertAlign val="subscript"/>
        <sz val="12"/>
        <color theme="1"/>
        <rFont val="Calibri"/>
        <family val="2"/>
        <scheme val="minor"/>
      </rPr>
      <t>Pos</t>
    </r>
  </si>
  <si>
    <r>
      <rPr>
        <sz val="12"/>
        <color theme="1"/>
        <rFont val="Calibri"/>
        <family val="2"/>
        <scheme val="minor"/>
      </rPr>
      <t>S</t>
    </r>
    <r>
      <rPr>
        <vertAlign val="subscript"/>
        <sz val="12"/>
        <color theme="1"/>
        <rFont val="Calibri"/>
        <family val="2"/>
        <scheme val="minor"/>
      </rPr>
      <t>K</t>
    </r>
  </si>
  <si>
    <r>
      <t>H</t>
    </r>
    <r>
      <rPr>
        <vertAlign val="subscript"/>
        <sz val="12"/>
        <color theme="1"/>
        <rFont val="Calibri"/>
        <family val="2"/>
        <scheme val="minor"/>
      </rPr>
      <t>FG</t>
    </r>
  </si>
  <si>
    <r>
      <rPr>
        <sz val="12"/>
        <color theme="1"/>
        <rFont val="Calibri"/>
        <family val="2"/>
        <scheme val="minor"/>
      </rPr>
      <t>S</t>
    </r>
    <r>
      <rPr>
        <vertAlign val="subscript"/>
        <sz val="12"/>
        <color theme="1"/>
        <rFont val="Calibri"/>
        <family val="2"/>
        <scheme val="minor"/>
      </rPr>
      <t>FG</t>
    </r>
  </si>
  <si>
    <r>
      <t>S</t>
    </r>
    <r>
      <rPr>
        <vertAlign val="subscript"/>
        <sz val="12"/>
        <color theme="1"/>
        <rFont val="Calibri"/>
        <family val="2"/>
        <scheme val="minor"/>
      </rPr>
      <t>RZ</t>
    </r>
  </si>
  <si>
    <r>
      <t>S</t>
    </r>
    <r>
      <rPr>
        <vertAlign val="subscript"/>
        <sz val="12"/>
        <color theme="1"/>
        <rFont val="Calibri"/>
        <family val="2"/>
        <scheme val="minor"/>
      </rPr>
      <t>CM</t>
    </r>
  </si>
  <si>
    <r>
      <t>S</t>
    </r>
    <r>
      <rPr>
        <vertAlign val="subscript"/>
        <sz val="12"/>
        <color theme="1"/>
        <rFont val="Calibri"/>
        <family val="2"/>
        <scheme val="minor"/>
      </rPr>
      <t>CV</t>
    </r>
  </si>
  <si>
    <r>
      <t>H</t>
    </r>
    <r>
      <rPr>
        <vertAlign val="subscript"/>
        <sz val="12"/>
        <color theme="1"/>
        <rFont val="Calibri"/>
        <family val="2"/>
        <scheme val="minor"/>
      </rPr>
      <t>RZ</t>
    </r>
  </si>
  <si>
    <r>
      <t>H</t>
    </r>
    <r>
      <rPr>
        <vertAlign val="subscript"/>
        <sz val="12"/>
        <color theme="1"/>
        <rFont val="Calibri"/>
        <family val="2"/>
        <scheme val="minor"/>
      </rPr>
      <t>CM</t>
    </r>
  </si>
  <si>
    <r>
      <t>H</t>
    </r>
    <r>
      <rPr>
        <vertAlign val="subscript"/>
        <sz val="12"/>
        <color theme="1"/>
        <rFont val="Calibri"/>
        <family val="2"/>
        <scheme val="minor"/>
      </rPr>
      <t>CV</t>
    </r>
  </si>
  <si>
    <r>
      <t>S</t>
    </r>
    <r>
      <rPr>
        <vertAlign val="subscript"/>
        <sz val="12"/>
        <color theme="1"/>
        <rFont val="Calibri"/>
        <family val="2"/>
        <scheme val="minor"/>
      </rPr>
      <t>GRB</t>
    </r>
  </si>
  <si>
    <r>
      <t>S</t>
    </r>
    <r>
      <rPr>
        <vertAlign val="subscript"/>
        <sz val="12"/>
        <color theme="1"/>
        <rFont val="Calibri"/>
        <family val="2"/>
        <scheme val="minor"/>
      </rPr>
      <t>AV</t>
    </r>
  </si>
  <si>
    <r>
      <t>H</t>
    </r>
    <r>
      <rPr>
        <vertAlign val="subscript"/>
        <sz val="12"/>
        <color theme="1"/>
        <rFont val="Calibri"/>
        <family val="2"/>
        <scheme val="minor"/>
      </rPr>
      <t>AV</t>
    </r>
  </si>
  <si>
    <t>Maximum UAV characteristic dimension</t>
  </si>
  <si>
    <t>Details of UAV used and intended operation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</si>
</sst>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FA7D00"/>
      <name val="Calibri"/>
      <family val="2"/>
      <scheme val="minor"/>
    </font>
    <font>
      <sz val="12"/>
      <color theme="7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7" tint="0.79998168889431442"/>
      <name val="Calibri"/>
      <family val="2"/>
      <scheme val="minor"/>
    </font>
    <font>
      <sz val="12"/>
      <color rgb="FFFF9999"/>
      <name val="Calibri"/>
      <family val="2"/>
      <scheme val="minor"/>
    </font>
    <font>
      <sz val="12"/>
      <color rgb="FFFFF2CC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3" fillId="2" borderId="1" applyNumberFormat="0" applyAlignment="0" applyProtection="0"/>
    <xf numFmtId="0" fontId="4" fillId="3" borderId="2" applyNumberFormat="0" applyAlignment="0" applyProtection="0"/>
    <xf numFmtId="0" fontId="5" fillId="3" borderId="1" applyNumberFormat="0" applyAlignment="0" applyProtection="0"/>
    <xf numFmtId="0" fontId="2" fillId="4" borderId="3" applyNumberFormat="0" applyFont="0" applyAlignment="0" applyProtection="0"/>
  </cellStyleXfs>
  <cellXfs count="71">
    <xf numFmtId="0" fontId="0" fillId="0" borderId="0" xfId="0"/>
    <xf numFmtId="0" fontId="7" fillId="4" borderId="3" xfId="4" applyFont="1"/>
    <xf numFmtId="0" fontId="7" fillId="10" borderId="0" xfId="0" applyFont="1" applyFill="1"/>
    <xf numFmtId="0" fontId="7" fillId="11" borderId="0" xfId="0" applyFont="1" applyFill="1"/>
    <xf numFmtId="0" fontId="10" fillId="11" borderId="0" xfId="0" applyFont="1" applyFill="1"/>
    <xf numFmtId="0" fontId="11" fillId="11" borderId="0" xfId="0" applyFont="1" applyFill="1"/>
    <xf numFmtId="0" fontId="12" fillId="11" borderId="1" xfId="3" applyFont="1" applyFill="1"/>
    <xf numFmtId="0" fontId="7" fillId="6" borderId="0" xfId="0" applyFont="1" applyFill="1"/>
    <xf numFmtId="0" fontId="7" fillId="7" borderId="0" xfId="0" applyFont="1" applyFill="1"/>
    <xf numFmtId="0" fontId="13" fillId="6" borderId="0" xfId="0" applyFont="1" applyFill="1"/>
    <xf numFmtId="0" fontId="7" fillId="8" borderId="0" xfId="0" applyFont="1" applyFill="1"/>
    <xf numFmtId="0" fontId="7" fillId="9" borderId="0" xfId="0" applyFont="1" applyFill="1"/>
    <xf numFmtId="0" fontId="10" fillId="9" borderId="0" xfId="0" applyFont="1" applyFill="1"/>
    <xf numFmtId="0" fontId="6" fillId="5" borderId="0" xfId="0" applyFont="1" applyFill="1"/>
    <xf numFmtId="0" fontId="1" fillId="5" borderId="0" xfId="0" applyFont="1" applyFill="1"/>
    <xf numFmtId="0" fontId="0" fillId="5" borderId="0" xfId="0" applyFill="1"/>
    <xf numFmtId="0" fontId="7" fillId="5" borderId="0" xfId="0" applyFont="1" applyFill="1"/>
    <xf numFmtId="0" fontId="16" fillId="5" borderId="0" xfId="0" applyFont="1" applyFill="1"/>
    <xf numFmtId="0" fontId="16" fillId="10" borderId="0" xfId="0" applyFont="1" applyFill="1"/>
    <xf numFmtId="0" fontId="16" fillId="6" borderId="0" xfId="0" applyFont="1" applyFill="1"/>
    <xf numFmtId="0" fontId="16" fillId="7" borderId="0" xfId="0" applyFont="1" applyFill="1"/>
    <xf numFmtId="0" fontId="16" fillId="8" borderId="0" xfId="0" applyFont="1" applyFill="1"/>
    <xf numFmtId="0" fontId="0" fillId="12" borderId="0" xfId="0" applyFill="1"/>
    <xf numFmtId="0" fontId="7" fillId="12" borderId="0" xfId="0" applyFont="1" applyFill="1"/>
    <xf numFmtId="0" fontId="16" fillId="13" borderId="0" xfId="0" applyFont="1" applyFill="1"/>
    <xf numFmtId="0" fontId="0" fillId="13" borderId="0" xfId="0" applyFill="1"/>
    <xf numFmtId="0" fontId="7" fillId="12" borderId="4" xfId="0" applyFont="1" applyFill="1" applyBorder="1"/>
    <xf numFmtId="0" fontId="3" fillId="2" borderId="1" xfId="1" applyProtection="1">
      <protection locked="0"/>
    </xf>
    <xf numFmtId="49" fontId="3" fillId="2" borderId="1" xfId="1" applyNumberFormat="1" applyProtection="1">
      <protection locked="0"/>
    </xf>
    <xf numFmtId="0" fontId="9" fillId="2" borderId="1" xfId="1" applyFont="1" applyProtection="1">
      <protection locked="0"/>
    </xf>
    <xf numFmtId="0" fontId="7" fillId="7" borderId="0" xfId="0" applyFont="1" applyFill="1" applyBorder="1" applyProtection="1">
      <protection locked="0"/>
    </xf>
    <xf numFmtId="0" fontId="7" fillId="7" borderId="0" xfId="0" applyFont="1" applyFill="1" applyProtection="1">
      <protection locked="0"/>
    </xf>
    <xf numFmtId="0" fontId="9" fillId="2" borderId="0" xfId="1" applyFont="1" applyBorder="1" applyProtection="1">
      <protection locked="0"/>
    </xf>
    <xf numFmtId="0" fontId="7" fillId="4" borderId="5" xfId="4" applyFont="1" applyBorder="1"/>
    <xf numFmtId="0" fontId="7" fillId="12" borderId="0" xfId="0" applyFont="1" applyFill="1" applyBorder="1"/>
    <xf numFmtId="0" fontId="18" fillId="5" borderId="0" xfId="0" applyFont="1" applyFill="1"/>
    <xf numFmtId="0" fontId="7" fillId="5" borderId="0" xfId="0" applyFont="1" applyFill="1" applyBorder="1"/>
    <xf numFmtId="0" fontId="0" fillId="5" borderId="0" xfId="0" applyFill="1" applyBorder="1"/>
    <xf numFmtId="14" fontId="3" fillId="2" borderId="1" xfId="1" applyNumberFormat="1" applyProtection="1">
      <protection locked="0"/>
    </xf>
    <xf numFmtId="0" fontId="19" fillId="11" borderId="0" xfId="0" applyFont="1" applyFill="1"/>
    <xf numFmtId="0" fontId="8" fillId="11" borderId="0" xfId="0" applyFont="1" applyFill="1"/>
    <xf numFmtId="0" fontId="19" fillId="7" borderId="0" xfId="0" applyFont="1" applyFill="1"/>
    <xf numFmtId="0" fontId="20" fillId="5" borderId="0" xfId="0" applyFont="1" applyFill="1"/>
    <xf numFmtId="164" fontId="14" fillId="7" borderId="2" xfId="2" applyNumberFormat="1" applyFont="1" applyFill="1"/>
    <xf numFmtId="164" fontId="7" fillId="7" borderId="0" xfId="0" applyNumberFormat="1" applyFont="1" applyFill="1"/>
    <xf numFmtId="164" fontId="15" fillId="9" borderId="2" xfId="2" applyNumberFormat="1" applyFont="1" applyFill="1"/>
    <xf numFmtId="0" fontId="10" fillId="5" borderId="0" xfId="0" applyFont="1" applyFill="1" applyAlignment="1">
      <alignment horizontal="left"/>
    </xf>
    <xf numFmtId="14" fontId="7" fillId="5" borderId="0" xfId="0" applyNumberFormat="1" applyFont="1" applyFill="1" applyBorder="1"/>
    <xf numFmtId="164" fontId="7" fillId="12" borderId="4" xfId="0" applyNumberFormat="1" applyFont="1" applyFill="1" applyBorder="1"/>
    <xf numFmtId="16" fontId="7" fillId="5" borderId="0" xfId="0" applyNumberFormat="1" applyFont="1" applyFill="1"/>
    <xf numFmtId="0" fontId="10" fillId="5" borderId="0" xfId="0" applyFont="1" applyFill="1" applyAlignment="1">
      <alignment horizontal="right"/>
    </xf>
    <xf numFmtId="0" fontId="23" fillId="5" borderId="0" xfId="0" applyFont="1" applyFill="1"/>
    <xf numFmtId="0" fontId="19" fillId="9" borderId="0" xfId="0" applyFont="1" applyFill="1"/>
    <xf numFmtId="164" fontId="7" fillId="4" borderId="3" xfId="4" applyNumberFormat="1" applyFont="1"/>
    <xf numFmtId="0" fontId="25" fillId="9" borderId="0" xfId="0" applyFont="1" applyFill="1"/>
    <xf numFmtId="0" fontId="24" fillId="7" borderId="0" xfId="0" applyFont="1" applyFill="1"/>
    <xf numFmtId="0" fontId="26" fillId="7" borderId="0" xfId="0" applyFont="1" applyFill="1"/>
    <xf numFmtId="0" fontId="11" fillId="7" borderId="0" xfId="0" applyFont="1" applyFill="1"/>
    <xf numFmtId="0" fontId="7" fillId="15" borderId="0" xfId="0" applyFont="1" applyFill="1"/>
    <xf numFmtId="0" fontId="16" fillId="15" borderId="0" xfId="0" applyFont="1" applyFill="1"/>
    <xf numFmtId="0" fontId="7" fillId="16" borderId="0" xfId="0" applyFont="1" applyFill="1"/>
    <xf numFmtId="164" fontId="14" fillId="16" borderId="2" xfId="2" applyNumberFormat="1" applyFont="1" applyFill="1"/>
    <xf numFmtId="1" fontId="14" fillId="16" borderId="2" xfId="2" applyNumberFormat="1" applyFont="1" applyFill="1"/>
    <xf numFmtId="0" fontId="8" fillId="5" borderId="0" xfId="0" applyFont="1" applyFill="1"/>
    <xf numFmtId="0" fontId="19" fillId="8" borderId="0" xfId="0" applyFont="1" applyFill="1"/>
    <xf numFmtId="0" fontId="9" fillId="2" borderId="1" xfId="1" applyFont="1" applyAlignment="1" applyProtection="1">
      <alignment horizontal="center"/>
      <protection locked="0"/>
    </xf>
    <xf numFmtId="0" fontId="3" fillId="2" borderId="6" xfId="1" applyBorder="1" applyAlignment="1" applyProtection="1">
      <alignment horizontal="center"/>
      <protection locked="0"/>
    </xf>
    <xf numFmtId="0" fontId="3" fillId="2" borderId="7" xfId="1" applyBorder="1" applyAlignment="1" applyProtection="1">
      <alignment horizontal="center"/>
      <protection locked="0"/>
    </xf>
    <xf numFmtId="0" fontId="3" fillId="2" borderId="8" xfId="1" applyBorder="1" applyAlignment="1" applyProtection="1">
      <alignment horizontal="center"/>
      <protection locked="0"/>
    </xf>
    <xf numFmtId="0" fontId="3" fillId="2" borderId="1" xfId="1" applyAlignment="1" applyProtection="1">
      <alignment horizontal="center"/>
      <protection locked="0"/>
    </xf>
    <xf numFmtId="0" fontId="3" fillId="14" borderId="1" xfId="1" applyFill="1" applyAlignment="1" applyProtection="1">
      <alignment horizontal="center"/>
      <protection locked="0"/>
    </xf>
  </cellXfs>
  <cellStyles count="5">
    <cellStyle name="Dane wejściowe" xfId="1" builtinId="20"/>
    <cellStyle name="Dane wyjściowe" xfId="2" builtinId="21"/>
    <cellStyle name="Normalny" xfId="0" builtinId="0"/>
    <cellStyle name="Obliczenia" xfId="3" builtinId="22"/>
    <cellStyle name="Uwaga" xfId="4" builtinId="10"/>
  </cellStyles>
  <dxfs count="21">
    <dxf>
      <font>
        <color rgb="FFFF9999"/>
      </font>
      <fill>
        <patternFill>
          <bgColor rgb="FFFF9999"/>
        </patternFill>
      </fill>
    </dxf>
    <dxf>
      <font>
        <color rgb="FFFF9999"/>
      </font>
      <fill>
        <patternFill>
          <bgColor rgb="FFFF9999"/>
        </patternFill>
      </fill>
    </dxf>
    <dxf>
      <font>
        <color rgb="FFFF9999"/>
      </font>
      <fill>
        <patternFill>
          <bgColor rgb="FFFF9999"/>
        </patternFill>
      </fill>
      <border>
        <left/>
        <right/>
        <top/>
        <bottom/>
      </border>
    </dxf>
    <dxf>
      <font>
        <color rgb="FFFF9999"/>
      </font>
      <fill>
        <patternFill>
          <bgColor rgb="FFFF9999"/>
        </patternFill>
      </fill>
    </dxf>
    <dxf>
      <font>
        <color rgb="FFFF9999"/>
      </font>
    </dxf>
    <dxf>
      <font>
        <color rgb="FFFF9999"/>
      </font>
    </dxf>
    <dxf>
      <font>
        <color rgb="FF3F3F76"/>
      </font>
      <fill>
        <patternFill>
          <bgColor rgb="FFFFCC99"/>
        </patternFill>
      </fill>
      <border>
        <left/>
        <right/>
        <top style="thin">
          <color rgb="FF7F7F7F"/>
        </top>
        <bottom/>
      </border>
    </dxf>
    <dxf>
      <font>
        <color theme="7" tint="0.79998168889431442"/>
      </font>
      <border>
        <left/>
        <right/>
        <top style="thin">
          <color rgb="FF7F7F7F"/>
        </top>
        <bottom/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9999"/>
      </font>
      <fill>
        <patternFill>
          <bgColor rgb="FFFF9999"/>
        </patternFill>
      </fill>
      <border>
        <left/>
        <right/>
        <top/>
        <bottom/>
        <vertical/>
        <horizontal/>
      </border>
    </dxf>
    <dxf>
      <font>
        <color rgb="FFFF9999"/>
      </font>
      <fill>
        <patternFill>
          <bgColor rgb="FFFF9999"/>
        </patternFill>
      </fill>
    </dxf>
    <dxf>
      <font>
        <color rgb="FFFF9999"/>
      </font>
      <fill>
        <patternFill>
          <bgColor rgb="FFFF9999"/>
        </patternFill>
      </fill>
    </dxf>
    <dxf>
      <font>
        <b/>
        <i val="0"/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color theme="0"/>
      </font>
    </dxf>
    <dxf>
      <font>
        <color theme="7" tint="0.79998168889431442"/>
      </font>
      <border>
        <left/>
        <right/>
        <top/>
        <bottom/>
        <vertical/>
        <horizontal/>
      </border>
    </dxf>
    <dxf>
      <font>
        <color rgb="FF3F3F76"/>
      </font>
      <fill>
        <patternFill>
          <bgColor rgb="FFFFCC99"/>
        </patternFill>
      </fill>
      <border>
        <left/>
        <right/>
        <top/>
        <bottom/>
        <vertical/>
        <horizontal/>
      </border>
    </dxf>
    <dxf>
      <font>
        <color rgb="FF3F3F76"/>
      </font>
      <fill>
        <patternFill>
          <bgColor rgb="FFFFCC99"/>
        </patternFill>
      </fill>
      <border>
        <left/>
        <right/>
        <top style="thin">
          <color rgb="FF7F7F7F"/>
        </top>
        <bottom/>
      </border>
    </dxf>
    <dxf>
      <font>
        <color theme="7" tint="0.79998168889431442"/>
      </font>
      <border>
        <left/>
        <right/>
        <top style="thin">
          <color rgb="FF7F7F7F"/>
        </top>
        <bottom/>
        <vertical/>
        <horizontal/>
      </border>
    </dxf>
  </dxfs>
  <tableStyles count="0" defaultTableStyle="TableStyleMedium2" defaultPivotStyle="PivotStyleLight16"/>
  <colors>
    <mruColors>
      <color rgb="FFFF9999"/>
      <color rgb="FFFF99CC"/>
      <color rgb="FFFFF2CC"/>
      <color rgb="FFFFCC99"/>
      <color rgb="FF7F7F7F"/>
      <color rgb="FFFFCCFF"/>
      <color rgb="FF3F3F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0</xdr:rowOff>
    </xdr:from>
    <xdr:to>
      <xdr:col>21</xdr:col>
      <xdr:colOff>196037</xdr:colOff>
      <xdr:row>58</xdr:row>
      <xdr:rowOff>190500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2BCA91B-3732-449B-A1BC-EE768EDB7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9400" y="2657475"/>
          <a:ext cx="7082612" cy="9963150"/>
        </a:xfrm>
        <a:prstGeom prst="rect">
          <a:avLst/>
        </a:prstGeom>
      </xdr:spPr>
    </xdr:pic>
    <xdr:clientData/>
  </xdr:twoCellAnchor>
  <xdr:twoCellAnchor>
    <xdr:from>
      <xdr:col>18</xdr:col>
      <xdr:colOff>414877</xdr:colOff>
      <xdr:row>32</xdr:row>
      <xdr:rowOff>198907</xdr:rowOff>
    </xdr:from>
    <xdr:to>
      <xdr:col>19</xdr:col>
      <xdr:colOff>307720</xdr:colOff>
      <xdr:row>34</xdr:row>
      <xdr:rowOff>51128</xdr:rowOff>
    </xdr:to>
    <xdr:sp macro="" textlink="$F$50">
      <xdr:nvSpPr>
        <xdr:cNvPr id="5" name="Textfeld 4" title="Lateral Ground Risk Buffe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454852" y="7123582"/>
          <a:ext cx="654843" cy="290371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99675F8C-217F-4509-9981-39A5D0E77A63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 </a:t>
          </a:fld>
          <a:endParaRPr lang="de-DE" sz="1100"/>
        </a:p>
      </xdr:txBody>
    </xdr:sp>
    <xdr:clientData/>
  </xdr:twoCellAnchor>
  <xdr:twoCellAnchor>
    <xdr:from>
      <xdr:col>19</xdr:col>
      <xdr:colOff>250458</xdr:colOff>
      <xdr:row>32</xdr:row>
      <xdr:rowOff>198566</xdr:rowOff>
    </xdr:from>
    <xdr:to>
      <xdr:col>19</xdr:col>
      <xdr:colOff>520968</xdr:colOff>
      <xdr:row>34</xdr:row>
      <xdr:rowOff>51740</xdr:rowOff>
    </xdr:to>
    <xdr:sp macro="" textlink="">
      <xdr:nvSpPr>
        <xdr:cNvPr id="6" name="Textfeld 5" title="Met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6052433" y="7123241"/>
          <a:ext cx="270510" cy="291324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t>m</a:t>
          </a:r>
        </a:p>
      </xdr:txBody>
    </xdr:sp>
    <xdr:clientData/>
  </xdr:twoCellAnchor>
  <xdr:twoCellAnchor>
    <xdr:from>
      <xdr:col>14</xdr:col>
      <xdr:colOff>573460</xdr:colOff>
      <xdr:row>17</xdr:row>
      <xdr:rowOff>107298</xdr:rowOff>
    </xdr:from>
    <xdr:to>
      <xdr:col>15</xdr:col>
      <xdr:colOff>103513</xdr:colOff>
      <xdr:row>20</xdr:row>
      <xdr:rowOff>104774</xdr:rowOff>
    </xdr:to>
    <xdr:sp macro="" textlink="$F$39">
      <xdr:nvSpPr>
        <xdr:cNvPr id="8" name="Textfeld 7" title="Vertical Contingency Volum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 rot="16200000">
          <a:off x="12346011" y="4031947"/>
          <a:ext cx="673751" cy="292053"/>
        </a:xfrm>
        <a:prstGeom prst="rect">
          <a:avLst/>
        </a:prstGeom>
        <a:solidFill>
          <a:srgbClr val="FFCC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E3E5197D-198D-44A2-B792-6658D4A013F4}" type="TxLink">
            <a:rPr lang="en-US" sz="1200" b="1" i="0" u="none" strike="noStrike">
              <a:solidFill>
                <a:srgbClr val="ED7D31"/>
              </a:solidFill>
              <a:latin typeface="Calibri"/>
              <a:cs typeface="Calibri"/>
            </a:rPr>
            <a:pPr algn="r"/>
            <a:t> </a:t>
          </a:fld>
          <a:endParaRPr lang="de-DE" sz="1100"/>
        </a:p>
      </xdr:txBody>
    </xdr:sp>
    <xdr:clientData/>
  </xdr:twoCellAnchor>
  <xdr:twoCellAnchor>
    <xdr:from>
      <xdr:col>17</xdr:col>
      <xdr:colOff>458600</xdr:colOff>
      <xdr:row>17</xdr:row>
      <xdr:rowOff>66957</xdr:rowOff>
    </xdr:from>
    <xdr:to>
      <xdr:col>17</xdr:col>
      <xdr:colOff>750653</xdr:colOff>
      <xdr:row>19</xdr:row>
      <xdr:rowOff>186020</xdr:rowOff>
    </xdr:to>
    <xdr:sp macro="" textlink="$F$17">
      <xdr:nvSpPr>
        <xdr:cNvPr id="9" name="Textfeld 8" title="Height Flight Geography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 rot="16200000">
          <a:off x="14584945" y="3952387"/>
          <a:ext cx="595313" cy="29205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006558BA-7531-4E3E-9F31-F62B11CF9041}" type="TxLink">
            <a:rPr lang="en-US" sz="1200" b="0" i="0" u="none" strike="noStrike">
              <a:solidFill>
                <a:srgbClr val="3F3F76"/>
              </a:solidFill>
              <a:latin typeface="Calibri"/>
              <a:cs typeface="Calibri"/>
            </a:rPr>
            <a:pPr algn="r"/>
            <a:t> </a:t>
          </a:fld>
          <a:endParaRPr lang="de-DE" sz="1100"/>
        </a:p>
      </xdr:txBody>
    </xdr:sp>
    <xdr:clientData/>
  </xdr:twoCellAnchor>
  <xdr:twoCellAnchor>
    <xdr:from>
      <xdr:col>18</xdr:col>
      <xdr:colOff>416750</xdr:colOff>
      <xdr:row>36</xdr:row>
      <xdr:rowOff>82172</xdr:rowOff>
    </xdr:from>
    <xdr:to>
      <xdr:col>19</xdr:col>
      <xdr:colOff>309593</xdr:colOff>
      <xdr:row>37</xdr:row>
      <xdr:rowOff>137444</xdr:rowOff>
    </xdr:to>
    <xdr:sp macro="" textlink="$F$30">
      <xdr:nvSpPr>
        <xdr:cNvPr id="10" name="Textfeld 9" title="Laterales Contingency Volu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5456725" y="7845047"/>
          <a:ext cx="654843" cy="293397"/>
        </a:xfrm>
        <a:prstGeom prst="rect">
          <a:avLst/>
        </a:prstGeom>
        <a:solidFill>
          <a:srgbClr val="FFCC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42C109A8-A7D7-4470-9BDF-7E4721F02A6D}" type="TxLink">
            <a:rPr lang="en-US" sz="1200" b="1" i="0" u="none" strike="noStrike">
              <a:solidFill>
                <a:srgbClr val="ED7D31"/>
              </a:solidFill>
              <a:latin typeface="Calibri"/>
              <a:cs typeface="Calibri"/>
            </a:rPr>
            <a:pPr algn="r"/>
            <a:t> </a:t>
          </a:fld>
          <a:endParaRPr lang="de-DE" sz="1100"/>
        </a:p>
      </xdr:txBody>
    </xdr:sp>
    <xdr:clientData/>
  </xdr:twoCellAnchor>
  <xdr:twoCellAnchor>
    <xdr:from>
      <xdr:col>19</xdr:col>
      <xdr:colOff>269760</xdr:colOff>
      <xdr:row>36</xdr:row>
      <xdr:rowOff>81505</xdr:rowOff>
    </xdr:from>
    <xdr:to>
      <xdr:col>19</xdr:col>
      <xdr:colOff>530292</xdr:colOff>
      <xdr:row>37</xdr:row>
      <xdr:rowOff>135418</xdr:rowOff>
    </xdr:to>
    <xdr:sp macro="" textlink="">
      <xdr:nvSpPr>
        <xdr:cNvPr id="17" name="Textfeld 16" title="Met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6071735" y="7844380"/>
          <a:ext cx="260532" cy="292038"/>
        </a:xfrm>
        <a:prstGeom prst="rect">
          <a:avLst/>
        </a:prstGeom>
        <a:solidFill>
          <a:srgbClr val="FFCC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t>m</a:t>
          </a:r>
        </a:p>
      </xdr:txBody>
    </xdr:sp>
    <xdr:clientData/>
  </xdr:twoCellAnchor>
  <xdr:twoCellAnchor>
    <xdr:from>
      <xdr:col>14</xdr:col>
      <xdr:colOff>572355</xdr:colOff>
      <xdr:row>16</xdr:row>
      <xdr:rowOff>67496</xdr:rowOff>
    </xdr:from>
    <xdr:to>
      <xdr:col>15</xdr:col>
      <xdr:colOff>101273</xdr:colOff>
      <xdr:row>17</xdr:row>
      <xdr:rowOff>143545</xdr:rowOff>
    </xdr:to>
    <xdr:sp macro="" textlink="">
      <xdr:nvSpPr>
        <xdr:cNvPr id="18" name="Textfeld 17" title="Met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 rot="16200000">
          <a:off x="12524127" y="3574799"/>
          <a:ext cx="314174" cy="290918"/>
        </a:xfrm>
        <a:prstGeom prst="rect">
          <a:avLst/>
        </a:prstGeom>
        <a:solidFill>
          <a:srgbClr val="FFCC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t>m</a:t>
          </a:r>
        </a:p>
      </xdr:txBody>
    </xdr:sp>
    <xdr:clientData/>
  </xdr:twoCellAnchor>
  <xdr:twoCellAnchor>
    <xdr:from>
      <xdr:col>17</xdr:col>
      <xdr:colOff>458789</xdr:colOff>
      <xdr:row>16</xdr:row>
      <xdr:rowOff>1942</xdr:rowOff>
    </xdr:from>
    <xdr:to>
      <xdr:col>17</xdr:col>
      <xdr:colOff>749707</xdr:colOff>
      <xdr:row>17</xdr:row>
      <xdr:rowOff>91998</xdr:rowOff>
    </xdr:to>
    <xdr:sp macro="" textlink="">
      <xdr:nvSpPr>
        <xdr:cNvPr id="19" name="Textfeld 18" title="Met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 rot="16200000">
          <a:off x="14718132" y="3516249"/>
          <a:ext cx="328181" cy="29091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t>m</a:t>
          </a:r>
        </a:p>
      </xdr:txBody>
    </xdr:sp>
    <xdr:clientData/>
  </xdr:twoCellAnchor>
  <xdr:twoCellAnchor>
    <xdr:from>
      <xdr:col>20</xdr:col>
      <xdr:colOff>666752</xdr:colOff>
      <xdr:row>17</xdr:row>
      <xdr:rowOff>76611</xdr:rowOff>
    </xdr:from>
    <xdr:to>
      <xdr:col>21</xdr:col>
      <xdr:colOff>199980</xdr:colOff>
      <xdr:row>20</xdr:row>
      <xdr:rowOff>3655</xdr:rowOff>
    </xdr:to>
    <xdr:sp macro="" textlink="$F$56">
      <xdr:nvSpPr>
        <xdr:cNvPr id="15" name="Textfeld 14" title="Höhe Flight Geography">
          <a:extLst>
            <a:ext uri="{FF2B5EF4-FFF2-40B4-BE49-F238E27FC236}">
              <a16:creationId xmlns:a16="http://schemas.microsoft.com/office/drawing/2014/main" id="{5431FE3C-57DC-482B-AF03-61042E607F52}"/>
            </a:ext>
          </a:extLst>
        </xdr:cNvPr>
        <xdr:cNvSpPr txBox="1"/>
      </xdr:nvSpPr>
      <xdr:spPr>
        <a:xfrm rot="16200000">
          <a:off x="17076681" y="3964457"/>
          <a:ext cx="603319" cy="295228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176FB23D-61BB-4FC5-94A4-91E26BE9BF88}" type="TxLink">
            <a:rPr lang="en-US" sz="1200" b="1" i="0" u="none" strike="noStrike">
              <a:solidFill>
                <a:srgbClr val="ED7D31"/>
              </a:solidFill>
              <a:latin typeface="Calibri"/>
              <a:cs typeface="Calibri"/>
            </a:rPr>
            <a:pPr algn="r"/>
            <a:t> </a:t>
          </a:fld>
          <a:endParaRPr lang="de-DE" sz="1100"/>
        </a:p>
      </xdr:txBody>
    </xdr:sp>
    <xdr:clientData/>
  </xdr:twoCellAnchor>
  <xdr:twoCellAnchor>
    <xdr:from>
      <xdr:col>20</xdr:col>
      <xdr:colOff>666941</xdr:colOff>
      <xdr:row>16</xdr:row>
      <xdr:rowOff>19050</xdr:rowOff>
    </xdr:from>
    <xdr:to>
      <xdr:col>21</xdr:col>
      <xdr:colOff>199034</xdr:colOff>
      <xdr:row>17</xdr:row>
      <xdr:rowOff>111177</xdr:rowOff>
    </xdr:to>
    <xdr:sp macro="" textlink="">
      <xdr:nvSpPr>
        <xdr:cNvPr id="16" name="Textfeld 15" title="Meter">
          <a:extLst>
            <a:ext uri="{FF2B5EF4-FFF2-40B4-BE49-F238E27FC236}">
              <a16:creationId xmlns:a16="http://schemas.microsoft.com/office/drawing/2014/main" id="{659DEAB4-3206-4F4D-9372-089510E3DE2E}"/>
            </a:ext>
          </a:extLst>
        </xdr:cNvPr>
        <xdr:cNvSpPr txBox="1"/>
      </xdr:nvSpPr>
      <xdr:spPr>
        <a:xfrm rot="16200000">
          <a:off x="17212837" y="3532804"/>
          <a:ext cx="330252" cy="294093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t>m</a:t>
          </a:r>
        </a:p>
      </xdr:txBody>
    </xdr:sp>
    <xdr:clientData/>
  </xdr:twoCellAnchor>
  <xdr:twoCellAnchor>
    <xdr:from>
      <xdr:col>15</xdr:col>
      <xdr:colOff>714375</xdr:colOff>
      <xdr:row>29</xdr:row>
      <xdr:rowOff>219075</xdr:rowOff>
    </xdr:from>
    <xdr:to>
      <xdr:col>16</xdr:col>
      <xdr:colOff>610393</xdr:colOff>
      <xdr:row>31</xdr:row>
      <xdr:rowOff>66117</xdr:rowOff>
    </xdr:to>
    <xdr:sp macro="" textlink="$F$54">
      <xdr:nvSpPr>
        <xdr:cNvPr id="20" name="Textfeld 19" title="Lateraler Ground Risk Buffer">
          <a:extLst>
            <a:ext uri="{FF2B5EF4-FFF2-40B4-BE49-F238E27FC236}">
              <a16:creationId xmlns:a16="http://schemas.microsoft.com/office/drawing/2014/main" id="{C1DD9060-7612-4A71-A33D-AF914B548830}"/>
            </a:ext>
          </a:extLst>
        </xdr:cNvPr>
        <xdr:cNvSpPr txBox="1"/>
      </xdr:nvSpPr>
      <xdr:spPr>
        <a:xfrm>
          <a:off x="13439775" y="6505575"/>
          <a:ext cx="658018" cy="28519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016E0A1E-69E5-43BB-9766-DE85D4FB23DA}" type="TxLink">
            <a:rPr lang="en-US" sz="1200" b="1" i="0" u="none" strike="noStrike">
              <a:solidFill>
                <a:srgbClr val="ED7D31"/>
              </a:solidFill>
              <a:latin typeface="Calibri"/>
              <a:cs typeface="Calibri"/>
            </a:rPr>
            <a:pPr algn="r"/>
            <a:t> </a:t>
          </a:fld>
          <a:endParaRPr lang="de-DE" sz="1100"/>
        </a:p>
      </xdr:txBody>
    </xdr:sp>
    <xdr:clientData/>
  </xdr:twoCellAnchor>
  <xdr:twoCellAnchor>
    <xdr:from>
      <xdr:col>16</xdr:col>
      <xdr:colOff>553131</xdr:colOff>
      <xdr:row>29</xdr:row>
      <xdr:rowOff>220445</xdr:rowOff>
    </xdr:from>
    <xdr:to>
      <xdr:col>17</xdr:col>
      <xdr:colOff>33066</xdr:colOff>
      <xdr:row>31</xdr:row>
      <xdr:rowOff>65862</xdr:rowOff>
    </xdr:to>
    <xdr:sp macro="" textlink="">
      <xdr:nvSpPr>
        <xdr:cNvPr id="21" name="Textfeld 20" title="Meter">
          <a:extLst>
            <a:ext uri="{FF2B5EF4-FFF2-40B4-BE49-F238E27FC236}">
              <a16:creationId xmlns:a16="http://schemas.microsoft.com/office/drawing/2014/main" id="{01AC72B3-5F37-4D7C-86A0-07B0B6007DB9}"/>
            </a:ext>
          </a:extLst>
        </xdr:cNvPr>
        <xdr:cNvSpPr txBox="1"/>
      </xdr:nvSpPr>
      <xdr:spPr>
        <a:xfrm>
          <a:off x="14040531" y="6506945"/>
          <a:ext cx="270510" cy="283567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t>m</a:t>
          </a:r>
        </a:p>
      </xdr:txBody>
    </xdr:sp>
    <xdr:clientData/>
  </xdr:twoCellAnchor>
  <xdr:twoCellAnchor>
    <xdr:from>
      <xdr:col>16</xdr:col>
      <xdr:colOff>161925</xdr:colOff>
      <xdr:row>20</xdr:row>
      <xdr:rowOff>190978</xdr:rowOff>
    </xdr:from>
    <xdr:to>
      <xdr:col>17</xdr:col>
      <xdr:colOff>15288</xdr:colOff>
      <xdr:row>22</xdr:row>
      <xdr:rowOff>31454</xdr:rowOff>
    </xdr:to>
    <xdr:sp macro="" textlink="$F$19">
      <xdr:nvSpPr>
        <xdr:cNvPr id="22" name="Textfeld 21" title="Lateraler Ground Risk Buffer">
          <a:extLst>
            <a:ext uri="{FF2B5EF4-FFF2-40B4-BE49-F238E27FC236}">
              <a16:creationId xmlns:a16="http://schemas.microsoft.com/office/drawing/2014/main" id="{F0677C64-CB72-4F0C-9D30-7CC9003A3E91}"/>
            </a:ext>
          </a:extLst>
        </xdr:cNvPr>
        <xdr:cNvSpPr txBox="1"/>
      </xdr:nvSpPr>
      <xdr:spPr>
        <a:xfrm>
          <a:off x="13649325" y="4601053"/>
          <a:ext cx="643938" cy="24052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86779583-2B8B-4D56-A68D-AB97053BBE92}" type="TxLink">
            <a:rPr lang="en-US" sz="1200" b="1" i="0" u="none" strike="noStrike">
              <a:solidFill>
                <a:srgbClr val="FA7D00"/>
              </a:solidFill>
              <a:latin typeface="Calibri"/>
              <a:cs typeface="Calibri"/>
            </a:rPr>
            <a:pPr algn="r"/>
            <a:t> </a:t>
          </a:fld>
          <a:endParaRPr lang="de-DE" sz="1100"/>
        </a:p>
      </xdr:txBody>
    </xdr:sp>
    <xdr:clientData/>
  </xdr:twoCellAnchor>
  <xdr:twoCellAnchor>
    <xdr:from>
      <xdr:col>16</xdr:col>
      <xdr:colOff>748601</xdr:colOff>
      <xdr:row>20</xdr:row>
      <xdr:rowOff>190500</xdr:rowOff>
    </xdr:from>
    <xdr:to>
      <xdr:col>17</xdr:col>
      <xdr:colOff>238061</xdr:colOff>
      <xdr:row>22</xdr:row>
      <xdr:rowOff>31776</xdr:rowOff>
    </xdr:to>
    <xdr:sp macro="" textlink="">
      <xdr:nvSpPr>
        <xdr:cNvPr id="23" name="Textfeld 22" title="Meter">
          <a:extLst>
            <a:ext uri="{FF2B5EF4-FFF2-40B4-BE49-F238E27FC236}">
              <a16:creationId xmlns:a16="http://schemas.microsoft.com/office/drawing/2014/main" id="{18B69360-EAB8-4AE6-8C52-59FEA92AE16C}"/>
            </a:ext>
          </a:extLst>
        </xdr:cNvPr>
        <xdr:cNvSpPr txBox="1"/>
      </xdr:nvSpPr>
      <xdr:spPr>
        <a:xfrm>
          <a:off x="14236001" y="4600575"/>
          <a:ext cx="280035" cy="24132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t>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tabSelected="1" topLeftCell="C1" zoomScale="70" zoomScaleNormal="70" workbookViewId="0">
      <selection activeCell="F7" sqref="F7"/>
    </sheetView>
  </sheetViews>
  <sheetFormatPr defaultColWidth="11.5546875" defaultRowHeight="14.4" x14ac:dyDescent="0.3"/>
  <cols>
    <col min="1" max="1" width="4.88671875" customWidth="1"/>
    <col min="2" max="2" width="8.88671875" bestFit="1" customWidth="1"/>
    <col min="3" max="3" width="45.6640625" customWidth="1"/>
    <col min="5" max="5" width="2.109375" bestFit="1" customWidth="1"/>
    <col min="8" max="8" width="14.33203125" bestFit="1" customWidth="1"/>
    <col min="10" max="10" width="5.109375" customWidth="1"/>
    <col min="11" max="11" width="21.88671875" customWidth="1"/>
    <col min="12" max="12" width="8" customWidth="1"/>
    <col min="17" max="17" width="11.88671875" bestFit="1" customWidth="1"/>
  </cols>
  <sheetData>
    <row r="1" spans="1:21" ht="21" x14ac:dyDescent="0.4">
      <c r="A1" s="13" t="s">
        <v>54</v>
      </c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6"/>
      <c r="Q1" s="15"/>
      <c r="R1" s="15"/>
      <c r="S1" s="15"/>
      <c r="T1" s="15"/>
      <c r="U1" s="15"/>
    </row>
    <row r="2" spans="1:21" ht="15.6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6" t="s">
        <v>15</v>
      </c>
      <c r="N2" s="49" t="s">
        <v>66</v>
      </c>
      <c r="O2" s="16"/>
      <c r="P2" s="16"/>
      <c r="Q2" s="15"/>
      <c r="R2" s="15"/>
      <c r="S2" s="15"/>
      <c r="T2" s="15"/>
      <c r="U2" s="15"/>
    </row>
    <row r="3" spans="1:21" ht="15.6" x14ac:dyDescent="0.3">
      <c r="A3" s="17" t="s">
        <v>98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36" t="s">
        <v>80</v>
      </c>
      <c r="N3" s="16"/>
      <c r="O3" s="16"/>
      <c r="P3" s="16"/>
      <c r="Q3" s="15"/>
      <c r="R3" s="15"/>
      <c r="S3" s="15"/>
      <c r="T3" s="15"/>
      <c r="U3" s="15"/>
    </row>
    <row r="4" spans="1:21" ht="15.6" x14ac:dyDescent="0.3">
      <c r="A4" s="16"/>
      <c r="B4" s="16"/>
      <c r="C4" s="16"/>
      <c r="D4" s="16" t="s">
        <v>18</v>
      </c>
      <c r="E4" s="16"/>
      <c r="F4" s="69" t="s">
        <v>24</v>
      </c>
      <c r="G4" s="69"/>
      <c r="H4" s="16"/>
      <c r="I4" s="16"/>
      <c r="J4" s="16"/>
      <c r="K4" s="16"/>
      <c r="L4" s="16"/>
      <c r="M4" s="36" t="s">
        <v>81</v>
      </c>
      <c r="P4" s="36"/>
      <c r="Q4" s="47"/>
      <c r="R4" s="36"/>
      <c r="S4" s="36"/>
      <c r="T4" s="37"/>
      <c r="U4" s="15"/>
    </row>
    <row r="5" spans="1:21" ht="15.6" x14ac:dyDescent="0.3">
      <c r="A5" s="16"/>
      <c r="B5" s="16"/>
      <c r="C5" s="16"/>
      <c r="D5" s="16"/>
      <c r="E5" s="16"/>
      <c r="F5" s="35" t="str">
        <f>IF(F4="","",IF(OR(F4=Hintergrund!E1,F4=Hintergrund!D1),Hintergrund!D1,IF(F4=Hintergrund!F1,Hintergrund!F1,"")))</f>
        <v>multirotor</v>
      </c>
      <c r="G5" s="16"/>
      <c r="H5" s="16"/>
      <c r="I5" s="16"/>
      <c r="J5" s="16"/>
      <c r="K5" s="16"/>
      <c r="L5" s="16"/>
      <c r="N5" s="36"/>
      <c r="O5" s="36"/>
      <c r="P5" s="36"/>
      <c r="Q5" s="36"/>
      <c r="R5" s="36"/>
      <c r="S5" s="36"/>
      <c r="T5" s="37"/>
      <c r="U5" s="15"/>
    </row>
    <row r="6" spans="1:21" ht="18" x14ac:dyDescent="0.4">
      <c r="A6" s="16"/>
      <c r="B6" s="16"/>
      <c r="C6" s="16" t="s">
        <v>19</v>
      </c>
      <c r="D6" s="63" t="s">
        <v>74</v>
      </c>
      <c r="E6" s="16" t="s">
        <v>0</v>
      </c>
      <c r="F6" s="27"/>
      <c r="G6" s="16" t="s">
        <v>1</v>
      </c>
      <c r="H6" s="16"/>
      <c r="I6" s="16"/>
      <c r="J6" s="16"/>
      <c r="K6" s="16"/>
      <c r="L6" s="16"/>
      <c r="M6" s="42" t="s">
        <v>49</v>
      </c>
      <c r="N6" s="16"/>
      <c r="O6" s="16"/>
      <c r="P6" s="16"/>
      <c r="Q6" s="15"/>
      <c r="R6" s="15"/>
      <c r="S6" s="15"/>
      <c r="T6" s="15"/>
      <c r="U6" s="15"/>
    </row>
    <row r="7" spans="1:21" ht="15.6" x14ac:dyDescent="0.3">
      <c r="A7" s="16"/>
      <c r="B7" s="16"/>
      <c r="C7" s="16" t="s">
        <v>97</v>
      </c>
      <c r="D7" s="16" t="s">
        <v>2</v>
      </c>
      <c r="E7" s="16" t="s">
        <v>0</v>
      </c>
      <c r="F7" s="27"/>
      <c r="G7" s="16" t="s">
        <v>3</v>
      </c>
      <c r="H7" s="16"/>
      <c r="I7" s="16"/>
      <c r="J7" s="16"/>
      <c r="K7" s="16"/>
      <c r="L7" s="16"/>
      <c r="M7" s="16"/>
      <c r="N7" s="16"/>
      <c r="O7" s="16"/>
      <c r="P7" s="16"/>
      <c r="Q7" s="15"/>
      <c r="R7" s="15"/>
      <c r="S7" s="15"/>
      <c r="T7" s="15"/>
      <c r="U7" s="15"/>
    </row>
    <row r="8" spans="1:21" ht="15.6" x14ac:dyDescent="0.3">
      <c r="A8" s="16"/>
      <c r="B8" s="16"/>
      <c r="C8" s="16" t="s">
        <v>20</v>
      </c>
      <c r="D8" s="16"/>
      <c r="E8" s="16"/>
      <c r="G8" s="16"/>
      <c r="H8" s="16"/>
      <c r="J8" s="16"/>
      <c r="K8" s="16"/>
      <c r="L8" s="16"/>
      <c r="M8" s="17" t="s">
        <v>16</v>
      </c>
      <c r="N8" s="66"/>
      <c r="O8" s="67"/>
      <c r="P8" s="67"/>
      <c r="Q8" s="67"/>
      <c r="R8" s="67"/>
      <c r="S8" s="67"/>
      <c r="T8" s="68"/>
      <c r="U8" s="15"/>
    </row>
    <row r="9" spans="1:21" ht="18" x14ac:dyDescent="0.4">
      <c r="A9" s="16"/>
      <c r="B9" s="16"/>
      <c r="C9" s="28" t="s">
        <v>21</v>
      </c>
      <c r="D9" s="16" t="s">
        <v>82</v>
      </c>
      <c r="E9" s="16" t="s">
        <v>0</v>
      </c>
      <c r="F9" s="1">
        <f>IF(I9&lt;&gt;"",I9,IF(C9=Hintergrund!B1,1,IF(C9=Hintergrund!B2,4,"")))</f>
        <v>1</v>
      </c>
      <c r="G9" s="16" t="s">
        <v>3</v>
      </c>
      <c r="H9" s="16" t="s">
        <v>37</v>
      </c>
      <c r="I9" s="27"/>
      <c r="J9" s="16" t="s">
        <v>3</v>
      </c>
      <c r="K9" s="46" t="str">
        <f>IF(I9&lt;&gt;"",IF(C9=Hintergrund!$B$1,IF(I9&lt;1,"Justification required",""),IF(C9=Hintergrund!$B$2,IF(I9&lt;4,"Justification required",""))),"")</f>
        <v/>
      </c>
      <c r="L9" s="50"/>
      <c r="M9" s="17" t="s">
        <v>17</v>
      </c>
      <c r="N9" s="66"/>
      <c r="O9" s="67"/>
      <c r="P9" s="67"/>
      <c r="Q9" s="67"/>
      <c r="R9" s="67"/>
      <c r="S9" s="67"/>
      <c r="T9" s="68"/>
      <c r="U9" s="15"/>
    </row>
    <row r="10" spans="1:21" ht="18" x14ac:dyDescent="0.4">
      <c r="A10" s="16"/>
      <c r="B10" s="16"/>
      <c r="C10" s="16" t="s">
        <v>33</v>
      </c>
      <c r="D10" s="16" t="s">
        <v>83</v>
      </c>
      <c r="E10" s="16" t="s">
        <v>0</v>
      </c>
      <c r="F10" s="1">
        <f>IF(I10="",3,I10)</f>
        <v>3</v>
      </c>
      <c r="G10" s="16" t="s">
        <v>3</v>
      </c>
      <c r="H10" s="16" t="s">
        <v>37</v>
      </c>
      <c r="I10" s="27"/>
      <c r="J10" s="16" t="s">
        <v>3</v>
      </c>
      <c r="K10" s="46" t="str">
        <f>IF(I10&lt;&gt;"",IF(I10&lt;3,"Justification required",""),"")</f>
        <v/>
      </c>
      <c r="L10" s="46"/>
      <c r="M10" s="36" t="s">
        <v>50</v>
      </c>
      <c r="N10" s="38">
        <f ca="1">TODAY()</f>
        <v>45627</v>
      </c>
      <c r="O10" s="15"/>
      <c r="P10" s="15"/>
      <c r="Q10" s="15"/>
      <c r="R10" s="15"/>
      <c r="S10" s="15"/>
      <c r="T10" s="15"/>
      <c r="U10" s="15"/>
    </row>
    <row r="11" spans="1:21" ht="18" x14ac:dyDescent="0.4">
      <c r="A11" s="16"/>
      <c r="B11" s="16"/>
      <c r="C11" s="16" t="s">
        <v>34</v>
      </c>
      <c r="D11" s="16" t="s">
        <v>84</v>
      </c>
      <c r="E11" s="16" t="s">
        <v>0</v>
      </c>
      <c r="F11" s="1">
        <f t="shared" ref="F11" si="0">IF(I11="",3,I11)</f>
        <v>3</v>
      </c>
      <c r="G11" s="16" t="s">
        <v>3</v>
      </c>
      <c r="H11" s="16" t="s">
        <v>37</v>
      </c>
      <c r="I11" s="27"/>
      <c r="J11" s="16" t="s">
        <v>3</v>
      </c>
      <c r="K11" s="46" t="str">
        <f>IF(I11&lt;&gt;"",IF(I11&lt;3,"Justification required",""),"")</f>
        <v/>
      </c>
      <c r="L11" s="46"/>
      <c r="M11" s="15"/>
      <c r="N11" s="15"/>
      <c r="O11" s="15"/>
      <c r="P11" s="15"/>
      <c r="Q11" s="15"/>
      <c r="R11" s="15"/>
      <c r="S11" s="15"/>
      <c r="T11" s="15"/>
      <c r="U11" s="15"/>
    </row>
    <row r="12" spans="1:21" ht="18" x14ac:dyDescent="0.4">
      <c r="A12" s="16"/>
      <c r="B12" s="16"/>
      <c r="C12" s="16" t="s">
        <v>35</v>
      </c>
      <c r="D12" s="63" t="s">
        <v>85</v>
      </c>
      <c r="E12" s="16" t="s">
        <v>0</v>
      </c>
      <c r="F12" s="1">
        <f>IF(I12="",1,I12)</f>
        <v>1</v>
      </c>
      <c r="G12" s="16" t="s">
        <v>3</v>
      </c>
      <c r="H12" s="16" t="s">
        <v>37</v>
      </c>
      <c r="I12" s="27"/>
      <c r="J12" s="16" t="s">
        <v>3</v>
      </c>
      <c r="K12" s="46" t="str">
        <f>IF(I12&lt;&gt;"",IF(I12&lt;1,"Justification required",""),"")</f>
        <v/>
      </c>
      <c r="L12" s="46"/>
      <c r="M12" s="51" t="s">
        <v>67</v>
      </c>
      <c r="N12" s="15"/>
      <c r="O12" s="15"/>
      <c r="P12" s="15"/>
      <c r="Q12" s="15"/>
      <c r="R12" s="15"/>
      <c r="S12" s="15"/>
      <c r="T12" s="15"/>
      <c r="U12" s="15"/>
    </row>
    <row r="13" spans="1:21" ht="18" x14ac:dyDescent="0.4">
      <c r="A13" s="16"/>
      <c r="B13" s="16"/>
      <c r="C13" s="16" t="s">
        <v>36</v>
      </c>
      <c r="D13" s="16" t="s">
        <v>75</v>
      </c>
      <c r="E13" s="16" t="s">
        <v>0</v>
      </c>
      <c r="F13" s="27">
        <v>1</v>
      </c>
      <c r="G13" s="16" t="s">
        <v>5</v>
      </c>
      <c r="H13" s="16"/>
      <c r="I13" s="16"/>
      <c r="J13" s="16"/>
      <c r="K13" s="16"/>
      <c r="L13" s="16"/>
    </row>
    <row r="14" spans="1:21" ht="15.6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21" ht="15.6" x14ac:dyDescent="0.3">
      <c r="A15" s="18" t="s">
        <v>68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21" ht="15.6" x14ac:dyDescent="0.3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2"/>
    </row>
    <row r="17" spans="1:12" ht="18" x14ac:dyDescent="0.4">
      <c r="A17" s="2"/>
      <c r="B17" s="3"/>
      <c r="C17" s="3" t="s">
        <v>38</v>
      </c>
      <c r="D17" s="3" t="s">
        <v>86</v>
      </c>
      <c r="E17" s="3" t="s">
        <v>0</v>
      </c>
      <c r="F17" s="29"/>
      <c r="G17" s="3" t="s">
        <v>3</v>
      </c>
      <c r="H17" s="4" t="str">
        <f>IF(F17&lt;&gt;"",IF(F17&lt;3*F7,"The height of the flight geography is too low",""),"")</f>
        <v/>
      </c>
      <c r="I17" s="3"/>
      <c r="J17" s="3"/>
      <c r="K17" s="3"/>
      <c r="L17" s="2"/>
    </row>
    <row r="18" spans="1:12" ht="18" x14ac:dyDescent="0.4">
      <c r="A18" s="2"/>
      <c r="B18" s="3"/>
      <c r="C18" s="3" t="s">
        <v>39</v>
      </c>
      <c r="D18" s="3" t="s">
        <v>86</v>
      </c>
      <c r="E18" s="5" t="s">
        <v>4</v>
      </c>
      <c r="F18" s="6" t="str">
        <f>IF(F7="","",F7*3)</f>
        <v/>
      </c>
      <c r="G18" s="3" t="s">
        <v>3</v>
      </c>
      <c r="H18" s="39" t="str">
        <f>IF(F17&lt;&gt;"",IF(F17&lt;3*F7,"(a minimum of " &amp; F18 &amp; " m should be used)",""),"")</f>
        <v/>
      </c>
      <c r="I18" s="3"/>
      <c r="J18" s="3"/>
      <c r="K18" s="3"/>
      <c r="L18" s="2"/>
    </row>
    <row r="19" spans="1:12" ht="18" x14ac:dyDescent="0.4">
      <c r="A19" s="2"/>
      <c r="B19" s="3"/>
      <c r="C19" s="3" t="s">
        <v>40</v>
      </c>
      <c r="D19" s="40" t="s">
        <v>87</v>
      </c>
      <c r="E19" s="5" t="s">
        <v>4</v>
      </c>
      <c r="F19" s="6" t="str">
        <f>IF(F7="","",F7*3)</f>
        <v/>
      </c>
      <c r="G19" s="3" t="s">
        <v>3</v>
      </c>
      <c r="H19" s="3"/>
      <c r="I19" s="3"/>
      <c r="J19" s="3"/>
      <c r="K19" s="3"/>
      <c r="L19" s="2"/>
    </row>
    <row r="20" spans="1:12" ht="15.6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6" x14ac:dyDescent="0.3">
      <c r="A21" s="19" t="s">
        <v>69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ht="15.6" x14ac:dyDescent="0.3">
      <c r="A22" s="19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ht="15.6" x14ac:dyDescent="0.3">
      <c r="A23" s="7"/>
      <c r="B23" s="20" t="s">
        <v>6</v>
      </c>
      <c r="C23" s="8"/>
      <c r="D23" s="8"/>
      <c r="E23" s="8"/>
      <c r="F23" s="8"/>
      <c r="G23" s="8"/>
      <c r="H23" s="8"/>
      <c r="I23" s="8"/>
      <c r="J23" s="8"/>
      <c r="K23" s="8"/>
      <c r="L23" s="9"/>
    </row>
    <row r="24" spans="1:12" ht="15.6" x14ac:dyDescent="0.3">
      <c r="A24" s="7"/>
      <c r="B24" s="8"/>
      <c r="C24" s="8" t="s">
        <v>55</v>
      </c>
      <c r="D24" s="70"/>
      <c r="E24" s="70"/>
      <c r="F24" s="70"/>
      <c r="G24" s="70"/>
      <c r="H24" s="70"/>
      <c r="I24" s="70"/>
      <c r="J24" s="55">
        <f>IF(OR(D24=Hintergrund!C7,D24=Hintergrund!D7),1,0)</f>
        <v>0</v>
      </c>
      <c r="K24" s="8"/>
      <c r="L24" s="9"/>
    </row>
    <row r="25" spans="1:12" ht="15.6" x14ac:dyDescent="0.3">
      <c r="A25" s="7"/>
      <c r="B25" s="8"/>
      <c r="C25" s="8" t="str">
        <f>IF(F5="","",IF(AND(F5=Hintergrund!D1,D24=Hintergrund!C6),"Pitch angle",IF(AND(F5=Hintergrund!D1,D24=Hintergrund!C7),"",IF(AND(F5=Hintergrund!F1,D24=Hintergrund!D6),"Roll angle",IF(AND(F5=Hintergrund!F1,D24=Hintergrund!D7),"","")))))</f>
        <v/>
      </c>
      <c r="D25" s="8" t="str">
        <f>IF(C25="","",IF(C25="Pitch angle","Θ",IF(C25="Roll angle","Φ","")))</f>
        <v/>
      </c>
      <c r="E25" s="8" t="str">
        <f>IF(C25="","","=")</f>
        <v/>
      </c>
      <c r="F25" s="30">
        <v>30</v>
      </c>
      <c r="G25" s="8" t="str">
        <f>IF(C25="","","°")</f>
        <v/>
      </c>
      <c r="H25" s="41" t="str">
        <f>IF(AND(C25="Pitch angle",F25&lt;&gt;""),IF(F25&gt;45,"Note: The pitch angle is &gt; 45°",""),IF(AND(C25="Roll angle",F25&lt;&gt;""),IF(F25&gt;30,"Note: The roll angle is &gt; 30°",""),""))</f>
        <v/>
      </c>
      <c r="I25" s="8"/>
      <c r="J25" s="8"/>
      <c r="K25" s="8"/>
      <c r="L25" s="9" t="str">
        <f>IF(OR(F25="",D25=""),"",IF(C25="Pitch angle",0.5*F6*F6/(9.81*TAN(RADIANS(F25))),IF(C25="Roll angle",F6*F6/(9.81*TAN(RADIANS(F25))),"")))</f>
        <v/>
      </c>
    </row>
    <row r="26" spans="1:12" ht="15.6" x14ac:dyDescent="0.3">
      <c r="A26" s="7"/>
      <c r="B26" s="8"/>
      <c r="C26" s="8" t="str">
        <f>IF($F$5="","",IF(AND($F$5=Hintergrund!D1,D24=Hintergrund!C7),"Time to open the parachute",IF(AND($F$5=Hintergrund!D1,D24=Hintergrund!C6),"",IF(AND($F$5=Hintergrund!F1,D24=Hintergrund!D7),"Time to open the parachute",IF(AND($F$5=Hintergrund!F1,D24=Hintergrund!D6),"","")))))</f>
        <v/>
      </c>
      <c r="D26" s="8" t="str">
        <f>IF(C26="","","t")</f>
        <v/>
      </c>
      <c r="E26" s="8" t="str">
        <f>IF(C26="","","=")</f>
        <v/>
      </c>
      <c r="F26" s="31">
        <v>2</v>
      </c>
      <c r="G26" s="8" t="str">
        <f>IF(C26="","","s")</f>
        <v/>
      </c>
      <c r="H26" s="8"/>
      <c r="I26" s="8"/>
      <c r="J26" s="8"/>
      <c r="K26" s="8"/>
      <c r="L26" s="9" t="str">
        <f>IF(OR(F26="",D26=""),"",F6*F26)</f>
        <v/>
      </c>
    </row>
    <row r="27" spans="1:12" ht="18" x14ac:dyDescent="0.4">
      <c r="A27" s="7"/>
      <c r="B27" s="8"/>
      <c r="C27" s="8" t="s">
        <v>41</v>
      </c>
      <c r="D27" s="8" t="s">
        <v>88</v>
      </c>
      <c r="E27" s="8" t="s">
        <v>0</v>
      </c>
      <c r="F27" s="8">
        <f>IF(F13="","",F6*F13)</f>
        <v>0</v>
      </c>
      <c r="G27" s="8" t="s">
        <v>3</v>
      </c>
      <c r="H27" s="8"/>
      <c r="I27" s="8"/>
      <c r="J27" s="8"/>
      <c r="K27" s="8"/>
      <c r="L27" s="9"/>
    </row>
    <row r="28" spans="1:12" ht="18" x14ac:dyDescent="0.4">
      <c r="A28" s="7"/>
      <c r="B28" s="8"/>
      <c r="C28" s="8" t="s">
        <v>56</v>
      </c>
      <c r="D28" s="8" t="s">
        <v>89</v>
      </c>
      <c r="E28" s="8" t="s">
        <v>0</v>
      </c>
      <c r="F28" s="44" t="str">
        <f>IF(L25&lt;&gt;"",L25,IF(L26&lt;&gt;"",L26,""))</f>
        <v/>
      </c>
      <c r="G28" s="8" t="s">
        <v>3</v>
      </c>
      <c r="H28" s="8"/>
      <c r="I28" s="8"/>
      <c r="J28" s="8"/>
      <c r="K28" s="8"/>
      <c r="L28" s="9"/>
    </row>
    <row r="29" spans="1:12" ht="15.6" x14ac:dyDescent="0.3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9"/>
    </row>
    <row r="30" spans="1:12" ht="18" x14ac:dyDescent="0.4">
      <c r="A30" s="7"/>
      <c r="B30" s="8"/>
      <c r="C30" s="8" t="s">
        <v>63</v>
      </c>
      <c r="D30" s="8" t="s">
        <v>90</v>
      </c>
      <c r="E30" s="57" t="s">
        <v>4</v>
      </c>
      <c r="F30" s="43" t="str">
        <f>IF(L30="","",L30)</f>
        <v/>
      </c>
      <c r="G30" s="8" t="s">
        <v>44</v>
      </c>
      <c r="H30" s="8"/>
      <c r="I30" s="8"/>
      <c r="J30" s="8"/>
      <c r="K30" s="8"/>
      <c r="L30" s="9" t="str">
        <f>IF(F28="","",F10+F11+F12+F27+F28)</f>
        <v/>
      </c>
    </row>
    <row r="31" spans="1:12" ht="15.6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9"/>
    </row>
    <row r="32" spans="1:12" ht="15.6" x14ac:dyDescent="0.3">
      <c r="A32" s="7"/>
      <c r="B32" s="20" t="s">
        <v>57</v>
      </c>
      <c r="C32" s="8"/>
      <c r="D32" s="8"/>
      <c r="E32" s="8"/>
      <c r="F32" s="8"/>
      <c r="G32" s="8"/>
      <c r="H32" s="8"/>
      <c r="I32" s="8"/>
      <c r="J32" s="8"/>
      <c r="K32" s="8"/>
      <c r="L32" s="9"/>
    </row>
    <row r="33" spans="1:12" ht="18" x14ac:dyDescent="0.4">
      <c r="A33" s="7"/>
      <c r="B33" s="8"/>
      <c r="C33" s="8" t="s">
        <v>42</v>
      </c>
      <c r="D33" s="8" t="s">
        <v>91</v>
      </c>
      <c r="E33" s="8" t="s">
        <v>0</v>
      </c>
      <c r="F33" s="53" t="str">
        <f>IF(OR(F6="",F13=""),"",IF(I33="",F6*0.7*F13,I33))</f>
        <v/>
      </c>
      <c r="G33" s="8" t="s">
        <v>3</v>
      </c>
      <c r="H33" s="8" t="s">
        <v>37</v>
      </c>
      <c r="I33" s="29"/>
      <c r="J33" s="8" t="s">
        <v>3</v>
      </c>
      <c r="K33" s="8"/>
      <c r="L33" s="9"/>
    </row>
    <row r="34" spans="1:12" ht="15.6" x14ac:dyDescent="0.3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9"/>
    </row>
    <row r="35" spans="1:12" ht="15.6" x14ac:dyDescent="0.3">
      <c r="A35" s="7"/>
      <c r="B35" s="8"/>
      <c r="C35" s="8" t="s">
        <v>55</v>
      </c>
      <c r="D35" s="70"/>
      <c r="E35" s="70"/>
      <c r="F35" s="70"/>
      <c r="G35" s="70"/>
      <c r="H35" s="70"/>
      <c r="I35" s="70"/>
      <c r="J35" s="55">
        <f>J24+IF(OR(D35=Hintergrund!L7,D35=Hintergrund!M7),1,0)</f>
        <v>0</v>
      </c>
      <c r="K35" s="56">
        <f>0.5*F6*F6/9.81</f>
        <v>0</v>
      </c>
      <c r="L35" s="9">
        <f>F6*F6/9.81*0.3</f>
        <v>0</v>
      </c>
    </row>
    <row r="36" spans="1:12" ht="15.6" x14ac:dyDescent="0.3">
      <c r="A36" s="7"/>
      <c r="B36" s="8"/>
      <c r="C36" s="8" t="str">
        <f>IF($F$5="","",IF(AND($F$5=Hintergrund!D1,D35=Hintergrund!L7,D24&lt;&gt;Hintergrund!C7),"Time to open the parachute",IF(AND($F$5=Hintergrund!F1,D35=Hintergrund!M7,D24&lt;&gt;Hintergrund!D7),"Time to open the parachute","")))</f>
        <v/>
      </c>
      <c r="D36" s="8" t="str">
        <f>IF(C36="","","t")</f>
        <v/>
      </c>
      <c r="E36" s="8" t="str">
        <f>IF(C36="","","=")</f>
        <v/>
      </c>
      <c r="F36" s="30">
        <v>2</v>
      </c>
      <c r="G36" s="8" t="str">
        <f>IF(C36="","","s")</f>
        <v/>
      </c>
      <c r="H36" s="55">
        <f>IF(AND(F5=Hintergrund!D1,D24=Hintergrund!C7),F26,IF(AND(F5=Hintergrund!F1,D24=Hintergrund!D7),F26,F36))</f>
        <v>2</v>
      </c>
      <c r="I36" s="8"/>
      <c r="J36" s="8"/>
      <c r="K36" s="56">
        <f>F6*H36*0.7</f>
        <v>0</v>
      </c>
      <c r="L36" s="9">
        <f>F6*H36*0.7</f>
        <v>0</v>
      </c>
    </row>
    <row r="37" spans="1:12" ht="18" x14ac:dyDescent="0.4">
      <c r="A37" s="7"/>
      <c r="B37" s="8"/>
      <c r="C37" s="8" t="str">
        <f>IF(F18="","",IF(AND(F18=Hintergrund!C5,D35=Hintergrund!C6),"Pitch angle",IF(AND(F18=Hintergrund!C5,D35=Hintergrund!C7),"",IF(AND(F18=Hintergrund!D5,D35=Hintergrund!D6),"Roll angle",IF(AND(F18=Hintergrund!D5,D35=Hintergrund!D7),"","")))))</f>
        <v/>
      </c>
      <c r="D37" s="8" t="s">
        <v>92</v>
      </c>
      <c r="E37" s="8" t="s">
        <v>0</v>
      </c>
      <c r="F37" s="44" t="str">
        <f>IF(D35="","",IF(F5=Hintergrund!D1,IF(D35=Hintergrund!L6,K35,IF(D35=Hintergrund!L7,K36,"")),IF(F5=Hintergrund!F1,IF(D35=Hintergrund!M6,L35,IF(D35=Hintergrund!M7,L36,"")),"")))</f>
        <v/>
      </c>
      <c r="G37" s="8" t="s">
        <v>3</v>
      </c>
      <c r="H37" s="8"/>
      <c r="I37" s="8"/>
      <c r="J37" s="8"/>
      <c r="K37" s="8"/>
      <c r="L37" s="9"/>
    </row>
    <row r="38" spans="1:12" ht="15.6" x14ac:dyDescent="0.3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9"/>
    </row>
    <row r="39" spans="1:12" ht="18" x14ac:dyDescent="0.4">
      <c r="A39" s="7"/>
      <c r="B39" s="8"/>
      <c r="C39" s="8" t="s">
        <v>64</v>
      </c>
      <c r="D39" s="8" t="s">
        <v>93</v>
      </c>
      <c r="E39" s="8" t="s">
        <v>0</v>
      </c>
      <c r="F39" s="43" t="str">
        <f>IF(L39="","",L39)</f>
        <v/>
      </c>
      <c r="G39" s="8" t="s">
        <v>3</v>
      </c>
      <c r="H39" s="8"/>
      <c r="I39" s="8"/>
      <c r="J39" s="8"/>
      <c r="K39" s="8"/>
      <c r="L39" s="9" t="str">
        <f>IF(F37="","",IF(OR(AND(F5=Hintergrund!D1,D35=Hintergrund!M6),AND(F5=Hintergrund!F1,D35=Hintergrund!L6)),"",F17+F9+F33+F37))</f>
        <v/>
      </c>
    </row>
    <row r="40" spans="1:12" ht="15.6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9"/>
    </row>
    <row r="41" spans="1:12" ht="15.6" x14ac:dyDescent="0.3">
      <c r="A41" s="21" t="s">
        <v>70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ht="15.6" x14ac:dyDescent="0.3">
      <c r="A42" s="10"/>
      <c r="B42" s="11"/>
      <c r="C42" s="11"/>
      <c r="D42" s="52" t="str">
        <f>IF(D43="","",IF(AND(OR($D$24=Hintergrund!C7,$D$35=Hintergrund!L7),D43&lt;&gt;Hintergrund!T8),"Please select again the method of termination:",""))</f>
        <v/>
      </c>
      <c r="E42" s="11"/>
      <c r="F42" s="11"/>
      <c r="G42" s="11"/>
      <c r="H42" s="11"/>
      <c r="I42" s="11"/>
      <c r="J42" s="11"/>
      <c r="K42" s="11"/>
      <c r="L42" s="10"/>
    </row>
    <row r="43" spans="1:12" ht="15.6" x14ac:dyDescent="0.3">
      <c r="A43" s="10"/>
      <c r="B43" s="11"/>
      <c r="C43" s="11" t="s">
        <v>43</v>
      </c>
      <c r="D43" s="65"/>
      <c r="E43" s="65"/>
      <c r="F43" s="65"/>
      <c r="G43" s="65"/>
      <c r="H43" s="65"/>
      <c r="I43" s="65"/>
      <c r="J43" s="54">
        <f>IF(D43="",1,IF(J35&gt;0,J35,IF(AND(J35=0,D43=Hintergrund!T8),0,1)))</f>
        <v>1</v>
      </c>
      <c r="K43" s="11"/>
      <c r="L43" s="10"/>
    </row>
    <row r="44" spans="1:12" ht="15.6" x14ac:dyDescent="0.3">
      <c r="A44" s="10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0"/>
    </row>
    <row r="45" spans="1:12" ht="15.6" x14ac:dyDescent="0.3">
      <c r="A45" s="10"/>
      <c r="B45" s="11"/>
      <c r="C45" s="11" t="s">
        <v>78</v>
      </c>
      <c r="D45" s="11" t="s">
        <v>79</v>
      </c>
      <c r="E45" s="11" t="s">
        <v>0</v>
      </c>
      <c r="F45" s="32">
        <v>20</v>
      </c>
      <c r="G45" s="11"/>
      <c r="H45" s="11"/>
      <c r="I45" s="11"/>
      <c r="J45" s="11"/>
      <c r="K45" s="11"/>
      <c r="L45" s="10"/>
    </row>
    <row r="46" spans="1:12" ht="15.6" x14ac:dyDescent="0.3">
      <c r="A46" s="10"/>
      <c r="B46" s="11"/>
      <c r="C46" s="11" t="s">
        <v>45</v>
      </c>
      <c r="D46" s="11" t="str">
        <f>IF(C46="","","t")</f>
        <v>t</v>
      </c>
      <c r="E46" s="11" t="str">
        <f>IF(C46="","","=")</f>
        <v>=</v>
      </c>
      <c r="F46" s="32">
        <v>2</v>
      </c>
      <c r="G46" s="11" t="str">
        <f>IF(C46="","","s")</f>
        <v>s</v>
      </c>
      <c r="H46" s="54" t="str">
        <f>IF(F5=Hintergrund!D1,
IF(OR(D24=Hintergrund!C7,D35=Hintergrund!L7),IF(D24=Hintergrund!C7,F26,IF(D35=Hintergrund!L7,F36,"")),IF(D43=Hintergrund!T8,F46,"")),
IF(F5=Hintergrund!F1,
IF(OR(D24=Hintergrund!D7,D35=Hintergrund!M7),IF(D24=Hintergrund!D7,F26,IF(D35=Hintergrund!M7,F36,"")),IF(D43=Hintergrund!U8,F46,"")),
)
)</f>
        <v/>
      </c>
      <c r="I46" s="11"/>
      <c r="J46" s="11"/>
      <c r="K46" s="11"/>
      <c r="L46" s="10"/>
    </row>
    <row r="47" spans="1:12" ht="18" x14ac:dyDescent="0.4">
      <c r="A47" s="10"/>
      <c r="B47" s="11"/>
      <c r="C47" s="11" t="s">
        <v>46</v>
      </c>
      <c r="D47" s="11" t="s">
        <v>7</v>
      </c>
      <c r="E47" s="11" t="s">
        <v>0</v>
      </c>
      <c r="F47" s="32">
        <v>3</v>
      </c>
      <c r="G47" s="11" t="s">
        <v>1</v>
      </c>
      <c r="H47" s="12" t="str">
        <f>IF(F47&lt;&gt;"",IF(F47&lt;3,"The specified maximum wind speed is unrealistic for",""),"")</f>
        <v/>
      </c>
      <c r="I47" s="11"/>
      <c r="J47" s="11"/>
      <c r="K47" s="11"/>
      <c r="L47" s="10"/>
    </row>
    <row r="48" spans="1:12" ht="18" x14ac:dyDescent="0.4">
      <c r="A48" s="10"/>
      <c r="B48" s="11"/>
      <c r="C48" s="11" t="s">
        <v>47</v>
      </c>
      <c r="D48" s="11" t="s">
        <v>8</v>
      </c>
      <c r="E48" s="11" t="s">
        <v>0</v>
      </c>
      <c r="F48" s="32">
        <v>2</v>
      </c>
      <c r="G48" s="11" t="s">
        <v>1</v>
      </c>
      <c r="H48" s="12" t="str">
        <f>IF(F47&lt;&gt;"",IF(F47&lt;3,"   termination using a parachute.",""),"")</f>
        <v/>
      </c>
      <c r="I48" s="11"/>
      <c r="J48" s="11"/>
      <c r="K48" s="11"/>
      <c r="L48" s="10"/>
    </row>
    <row r="49" spans="1:12" ht="15.6" x14ac:dyDescent="0.3">
      <c r="A49" s="10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0"/>
    </row>
    <row r="50" spans="1:12" ht="18" x14ac:dyDescent="0.4">
      <c r="A50" s="10"/>
      <c r="B50" s="11"/>
      <c r="C50" s="11" t="s">
        <v>65</v>
      </c>
      <c r="D50" s="11" t="s">
        <v>94</v>
      </c>
      <c r="E50" s="11" t="s">
        <v>4</v>
      </c>
      <c r="F50" s="45" t="str">
        <f>IF(L50="","",L50)</f>
        <v/>
      </c>
      <c r="G50" s="11" t="str">
        <f>G30</f>
        <v>m   (Tip: Add a reasonable safety buffer in the kml)</v>
      </c>
      <c r="H50" s="11"/>
      <c r="I50" s="11"/>
      <c r="J50" s="11"/>
      <c r="K50" s="11"/>
      <c r="L50" s="64" t="str">
        <f>IF(OR(D43="",D42&lt;&gt;""),"",IF(AND(D24=Hintergrund!C7, D35=Hintergrund!L7,D43&lt;&gt;Hintergrund!T8),"",IF(OR(D43="",D24="",D35=""),"",IF(D43&lt;&gt;"",IF(OR(D43=Hintergrund!T6,D43=Hintergrund!U7),L39+0.5*F7,IF(D43=Hintergrund!T7,F6*SQRT(2*L39/9.81)+0.5*F7,IF(D43=Hintergrund!U6,L39*F45,IF(D43=Hintergrund!T8,F6*H46+F47*L39/F48,"")))),""))))</f>
        <v/>
      </c>
    </row>
    <row r="51" spans="1:12" ht="15.6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1:12" ht="15.6" x14ac:dyDescent="0.3">
      <c r="A52" s="59" t="s">
        <v>71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</row>
    <row r="53" spans="1:12" ht="15.6" x14ac:dyDescent="0.3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</row>
    <row r="54" spans="1:12" ht="18" x14ac:dyDescent="0.4">
      <c r="A54" s="58"/>
      <c r="B54" s="60"/>
      <c r="C54" s="60" t="s">
        <v>72</v>
      </c>
      <c r="D54" s="60" t="s">
        <v>95</v>
      </c>
      <c r="E54" s="60" t="s">
        <v>0</v>
      </c>
      <c r="F54" s="62" t="str">
        <f>IF(F6="","",120*F6)</f>
        <v/>
      </c>
      <c r="G54" s="60" t="s">
        <v>3</v>
      </c>
      <c r="H54" s="60"/>
      <c r="I54" s="60"/>
      <c r="J54" s="60"/>
      <c r="K54" s="60"/>
      <c r="L54" s="58"/>
    </row>
    <row r="55" spans="1:12" ht="15.6" x14ac:dyDescent="0.3">
      <c r="A55" s="58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58"/>
    </row>
    <row r="56" spans="1:12" ht="18" x14ac:dyDescent="0.4">
      <c r="A56" s="58"/>
      <c r="B56" s="60"/>
      <c r="C56" s="60" t="s">
        <v>73</v>
      </c>
      <c r="D56" s="60" t="s">
        <v>96</v>
      </c>
      <c r="E56" s="60" t="s">
        <v>0</v>
      </c>
      <c r="F56" s="61" t="str">
        <f>IF(F39="","",F39+150)</f>
        <v/>
      </c>
      <c r="G56" s="60" t="s">
        <v>3</v>
      </c>
      <c r="H56" s="61" t="str">
        <f>IF(F39="","",F56*3.28083989501312)</f>
        <v/>
      </c>
      <c r="I56" s="60" t="s">
        <v>77</v>
      </c>
      <c r="J56" s="60"/>
      <c r="K56" s="60"/>
      <c r="L56" s="58"/>
    </row>
    <row r="57" spans="1:12" ht="15.6" x14ac:dyDescent="0.3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</row>
    <row r="58" spans="1:12" ht="15.6" x14ac:dyDescent="0.3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</row>
    <row r="59" spans="1:12" ht="15.6" x14ac:dyDescent="0.3">
      <c r="A59" s="24" t="s">
        <v>76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</row>
    <row r="60" spans="1:12" ht="18" x14ac:dyDescent="0.4">
      <c r="A60" s="25"/>
      <c r="B60" s="22"/>
      <c r="C60" s="23" t="s">
        <v>10</v>
      </c>
      <c r="D60" s="23" t="s">
        <v>12</v>
      </c>
      <c r="E60" s="23" t="s">
        <v>0</v>
      </c>
      <c r="F60" s="26" t="str">
        <f>IF(OR(F5=22,F7=""),"",IF(F5=Hintergrund!D1,ROUNDUP(327*F7+20,1),IF(F5=Hintergrund!F1,ROUNDUP(490*F7+30,1),"")))</f>
        <v/>
      </c>
      <c r="G60" s="23" t="s">
        <v>3</v>
      </c>
      <c r="H60" s="22"/>
      <c r="I60" s="22"/>
      <c r="J60" s="22"/>
      <c r="K60" s="22"/>
      <c r="L60" s="25"/>
    </row>
    <row r="61" spans="1:12" ht="15.6" x14ac:dyDescent="0.3">
      <c r="A61" s="25"/>
      <c r="B61" s="22"/>
      <c r="C61" s="23"/>
      <c r="D61" s="23"/>
      <c r="E61" s="23"/>
      <c r="F61" s="23"/>
      <c r="G61" s="23"/>
      <c r="H61" s="22"/>
      <c r="I61" s="22"/>
      <c r="J61" s="22"/>
      <c r="K61" s="22"/>
      <c r="L61" s="25"/>
    </row>
    <row r="62" spans="1:12" ht="18" x14ac:dyDescent="0.4">
      <c r="A62" s="25"/>
      <c r="B62" s="22"/>
      <c r="C62" s="23" t="s">
        <v>48</v>
      </c>
      <c r="D62" s="23" t="s">
        <v>9</v>
      </c>
      <c r="E62" s="23" t="s">
        <v>0</v>
      </c>
      <c r="F62" s="33">
        <f>IF(I62="",5000,IF(AND(I62&gt;=0,I62&lt;=5000),I62,""))</f>
        <v>5000</v>
      </c>
      <c r="G62" s="23" t="s">
        <v>3</v>
      </c>
      <c r="H62" s="23" t="s">
        <v>37</v>
      </c>
      <c r="I62" s="27"/>
      <c r="J62" s="23" t="s">
        <v>3</v>
      </c>
      <c r="K62" s="23"/>
      <c r="L62" s="25"/>
    </row>
    <row r="63" spans="1:12" ht="18" x14ac:dyDescent="0.4">
      <c r="A63" s="25"/>
      <c r="B63" s="22"/>
      <c r="C63" s="23" t="s">
        <v>11</v>
      </c>
      <c r="D63" s="23" t="s">
        <v>13</v>
      </c>
      <c r="E63" s="23" t="s">
        <v>0</v>
      </c>
      <c r="F63" s="26">
        <f>IF(AND(I62&gt;=0,I62&lt;=5000),ROUNDUP(0.3*F62,1),"")</f>
        <v>1500</v>
      </c>
      <c r="G63" s="23" t="s">
        <v>3</v>
      </c>
      <c r="H63" s="22"/>
      <c r="I63" s="22"/>
      <c r="J63" s="22"/>
      <c r="K63" s="22"/>
      <c r="L63" s="25"/>
    </row>
    <row r="64" spans="1:12" ht="15.6" x14ac:dyDescent="0.3">
      <c r="A64" s="25"/>
      <c r="B64" s="22"/>
      <c r="C64" s="23"/>
      <c r="D64" s="23"/>
      <c r="E64" s="23"/>
      <c r="F64" s="34"/>
      <c r="G64" s="23"/>
      <c r="H64" s="22"/>
      <c r="I64" s="22"/>
      <c r="J64" s="22"/>
      <c r="K64" s="22"/>
      <c r="L64" s="25"/>
    </row>
    <row r="65" spans="1:12" ht="18" x14ac:dyDescent="0.4">
      <c r="A65" s="25"/>
      <c r="B65" s="22"/>
      <c r="C65" s="23" t="s">
        <v>58</v>
      </c>
      <c r="D65" s="23" t="s">
        <v>14</v>
      </c>
      <c r="E65" s="23" t="s">
        <v>0</v>
      </c>
      <c r="F65" s="48" t="str">
        <f>IF(OR(F60="",F63=""),"",MIN(F60,F63))</f>
        <v/>
      </c>
      <c r="G65" s="23" t="s">
        <v>3</v>
      </c>
      <c r="H65" s="22"/>
      <c r="I65" s="22"/>
      <c r="J65" s="22"/>
      <c r="K65" s="22"/>
      <c r="L65" s="25"/>
    </row>
    <row r="66" spans="1:12" x14ac:dyDescent="0.3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</row>
  </sheetData>
  <sheetProtection algorithmName="SHA-512" hashValue="yM5VHkHZRGtZtmuN8n96cW/jcJbkWCDy9XbafipmjH0hWYPhKWd82dGbGuoOK/9gjJL7oZ/IITo/IRvW6Ff6yw==" saltValue="qSjIrrMoCX9lL1F7J9XTZQ==" spinCount="100000" sheet="1" objects="1" selectLockedCells="1"/>
  <mergeCells count="6">
    <mergeCell ref="D43:I43"/>
    <mergeCell ref="N8:T8"/>
    <mergeCell ref="N9:T9"/>
    <mergeCell ref="F4:G4"/>
    <mergeCell ref="D35:I35"/>
    <mergeCell ref="D24:I24"/>
  </mergeCells>
  <conditionalFormatting sqref="F25">
    <cfRule type="expression" dxfId="20" priority="47">
      <formula>D25=""</formula>
    </cfRule>
    <cfRule type="expression" dxfId="19" priority="48">
      <formula>D25&lt;&gt;""</formula>
    </cfRule>
  </conditionalFormatting>
  <conditionalFormatting sqref="F26">
    <cfRule type="expression" dxfId="18" priority="45">
      <formula>$D$26&lt;&gt;""</formula>
    </cfRule>
    <cfRule type="expression" dxfId="17" priority="46">
      <formula>$D$26=""</formula>
    </cfRule>
  </conditionalFormatting>
  <conditionalFormatting sqref="C9">
    <cfRule type="expression" dxfId="16" priority="44">
      <formula>$I$8&lt;&gt;""</formula>
    </cfRule>
  </conditionalFormatting>
  <conditionalFormatting sqref="F47">
    <cfRule type="expression" dxfId="15" priority="17">
      <formula>$F$47&lt;3</formula>
    </cfRule>
  </conditionalFormatting>
  <conditionalFormatting sqref="F17">
    <cfRule type="expression" dxfId="14" priority="16">
      <formula>$F$17&lt;3*$F$7</formula>
    </cfRule>
  </conditionalFormatting>
  <conditionalFormatting sqref="C45:F45">
    <cfRule type="expression" dxfId="13" priority="8">
      <formula>$D$43=""</formula>
    </cfRule>
    <cfRule type="expression" dxfId="12" priority="13">
      <formula>$D$43="termination by triggering of the parachute"</formula>
    </cfRule>
  </conditionalFormatting>
  <conditionalFormatting sqref="C47:G48">
    <cfRule type="expression" dxfId="11" priority="14">
      <formula>$D$43&lt;&gt;"termination by triggering of the parachute"</formula>
    </cfRule>
  </conditionalFormatting>
  <conditionalFormatting sqref="I62">
    <cfRule type="expression" dxfId="10" priority="10">
      <formula>$I$62&gt;5000</formula>
    </cfRule>
    <cfRule type="expression" dxfId="9" priority="11">
      <formula>$I$62&lt;0</formula>
    </cfRule>
  </conditionalFormatting>
  <conditionalFormatting sqref="I9:I12">
    <cfRule type="expression" dxfId="8" priority="9">
      <formula>$K9="Justification required"</formula>
    </cfRule>
  </conditionalFormatting>
  <conditionalFormatting sqref="F36">
    <cfRule type="expression" dxfId="7" priority="5">
      <formula>D36=""</formula>
    </cfRule>
    <cfRule type="expression" dxfId="6" priority="6">
      <formula>D36&lt;&gt;""</formula>
    </cfRule>
  </conditionalFormatting>
  <conditionalFormatting sqref="G46">
    <cfRule type="expression" dxfId="5" priority="3">
      <formula>$J$43&gt;0</formula>
    </cfRule>
  </conditionalFormatting>
  <conditionalFormatting sqref="D46:E46">
    <cfRule type="expression" dxfId="4" priority="2">
      <formula>$J$43&gt;0</formula>
    </cfRule>
  </conditionalFormatting>
  <dataValidations count="2">
    <dataValidation type="list" allowBlank="1" showInputMessage="1" showErrorMessage="1" sqref="F4">
      <formula1>Drohnentyp</formula1>
    </dataValidation>
    <dataValidation type="list" allowBlank="1" showInputMessage="1" showErrorMessage="1" sqref="C9">
      <formula1>Höhenmessfehler</formula1>
    </dataValidation>
  </dataValidations>
  <pageMargins left="0.7" right="0.7" top="0.75" bottom="0.75" header="0.3" footer="0.3"/>
  <pageSetup paperSize="9" scale="4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43135861-796A-44FE-80F5-3404FF19DAB4}">
            <xm:f>$D$43=Hintergrund!$U$7</xm:f>
            <x14:dxf>
              <font>
                <color rgb="FFFF9999"/>
              </font>
              <fill>
                <patternFill>
                  <bgColor rgb="FFFF9999"/>
                </patternFill>
              </fill>
            </x14:dxf>
          </x14:cfRule>
          <x14:cfRule type="expression" priority="15" id="{0B05EBF3-7CBA-41FA-A029-873CB64ABDEC}">
            <xm:f>$F$5&lt;&gt;Hintergrund!$F$1</xm:f>
            <x14:dxf>
              <font>
                <color rgb="FFFF9999"/>
              </font>
              <fill>
                <patternFill>
                  <bgColor rgb="FFFF9999"/>
                </patternFill>
              </fill>
              <border>
                <left/>
                <right/>
                <top/>
                <bottom/>
              </border>
            </x14:dxf>
          </x14:cfRule>
          <xm:sqref>C45:F45</xm:sqref>
        </x14:conditionalFormatting>
        <x14:conditionalFormatting xmlns:xm="http://schemas.microsoft.com/office/excel/2006/main">
          <x14:cfRule type="expression" priority="4" id="{1746AE76-B6FE-471A-AE8B-F80794C86562}">
            <xm:f>OR(D24=Hintergrund!C7,D24=Hintergrund!D7,D35=Hintergrund!L7,D35=Hintergrund!M7,$D$43&lt;&gt;"termination by triggering of the parachute")</xm:f>
            <x14:dxf>
              <font>
                <color rgb="FFFF9999"/>
              </font>
              <fill>
                <patternFill>
                  <bgColor rgb="FFFF9999"/>
                </patternFill>
              </fill>
            </x14:dxf>
          </x14:cfRule>
          <xm:sqref>C46</xm:sqref>
        </x14:conditionalFormatting>
        <x14:conditionalFormatting xmlns:xm="http://schemas.microsoft.com/office/excel/2006/main">
          <x14:cfRule type="expression" priority="1" id="{EA5CA108-D7C5-4856-90B7-9D49B0DA502D}">
            <xm:f>OR(D24=Hintergrund!C7,D24=Hintergrund!D7,D35=Hintergrund!L7,D35=Hintergrund!M7,$D$43&lt;&gt;"termination by triggering of the parachute")</xm:f>
            <x14:dxf>
              <font>
                <color rgb="FFFF9999"/>
              </font>
              <fill>
                <patternFill>
                  <bgColor rgb="FFFF9999"/>
                </patternFill>
              </fill>
            </x14:dxf>
          </x14:cfRule>
          <xm:sqref>F46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IF(OR($D$24=Hintergrund!C7,$D$35=Hintergrund!L7), Hintergrund!T8, OFFSET(Hintergrund!T:Y,5, MATCH(F5, Hintergrund!$T$5:$Y$5, 0)-1, COUNTA(INDEX(Hintergrund!T:Y, , MATCH(F5, Hintergrund!$T$5:$Y$5, 0)))-1, 1))</xm:f>
          </x14:formula1>
          <xm:sqref>D43:I43</xm:sqref>
        </x14:dataValidation>
        <x14:dataValidation type="list" allowBlank="1" showInputMessage="1" showErrorMessage="1">
          <x14:formula1>
            <xm:f>OFFSET(Hintergrund!C:D,5,MATCH(F5,Hintergrund!$C$5:$D$5,0)-1,COUNTA(INDEX(Hintergrund!C:D,,MATCH(F5,Hintergrund!$C$5:$D$5,0)))-1,1)</xm:f>
          </x14:formula1>
          <xm:sqref>D24:I24</xm:sqref>
        </x14:dataValidation>
        <x14:dataValidation type="list" allowBlank="1" showInputMessage="1" showErrorMessage="1">
          <x14:formula1>
            <xm:f>OFFSET(Hintergrund!K:O,5,MATCH(F5,Hintergrund!$K$5:$O$5,0)-1,COUNTA(INDEX(Hintergrund!K:O,,MATCH(F5,Hintergrund!$K$5:$O$5,0)))-1,1)</xm:f>
          </x14:formula1>
          <xm:sqref>D35:I35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workbookViewId="0">
      <selection activeCell="C1" sqref="C1:C2"/>
    </sheetView>
  </sheetViews>
  <sheetFormatPr defaultColWidth="11.5546875" defaultRowHeight="14.4" x14ac:dyDescent="0.3"/>
  <cols>
    <col min="2" max="2" width="21" bestFit="1" customWidth="1"/>
    <col min="3" max="4" width="19.44140625" bestFit="1" customWidth="1"/>
    <col min="11" max="11" width="21" bestFit="1" customWidth="1"/>
    <col min="12" max="12" width="30.44140625" bestFit="1" customWidth="1"/>
    <col min="19" max="19" width="21" bestFit="1" customWidth="1"/>
    <col min="20" max="20" width="29.88671875" bestFit="1" customWidth="1"/>
  </cols>
  <sheetData>
    <row r="1" spans="1:28" ht="15.6" x14ac:dyDescent="0.3">
      <c r="A1" s="16" t="s">
        <v>20</v>
      </c>
      <c r="B1" t="s">
        <v>21</v>
      </c>
      <c r="D1" t="s">
        <v>24</v>
      </c>
      <c r="E1" t="s">
        <v>25</v>
      </c>
      <c r="F1" t="s">
        <v>23</v>
      </c>
    </row>
    <row r="2" spans="1:28" x14ac:dyDescent="0.3">
      <c r="B2" t="s">
        <v>22</v>
      </c>
    </row>
    <row r="3" spans="1:28" x14ac:dyDescent="0.3">
      <c r="A3" t="s">
        <v>59</v>
      </c>
    </row>
    <row r="5" spans="1:28" x14ac:dyDescent="0.3">
      <c r="B5" t="s">
        <v>60</v>
      </c>
      <c r="C5" t="s">
        <v>24</v>
      </c>
      <c r="D5" t="s">
        <v>23</v>
      </c>
      <c r="K5" t="s">
        <v>60</v>
      </c>
      <c r="L5" t="s">
        <v>24</v>
      </c>
      <c r="M5" t="s">
        <v>23</v>
      </c>
      <c r="S5" t="s">
        <v>60</v>
      </c>
      <c r="T5" t="s">
        <v>24</v>
      </c>
      <c r="U5" t="s">
        <v>23</v>
      </c>
      <c r="Z5" t="s">
        <v>60</v>
      </c>
      <c r="AA5" t="s">
        <v>24</v>
      </c>
      <c r="AB5" t="s">
        <v>23</v>
      </c>
    </row>
    <row r="6" spans="1:28" x14ac:dyDescent="0.3">
      <c r="A6" t="s">
        <v>6</v>
      </c>
      <c r="B6" t="s">
        <v>55</v>
      </c>
      <c r="C6" t="s">
        <v>27</v>
      </c>
      <c r="D6" t="s">
        <v>28</v>
      </c>
      <c r="J6" t="s">
        <v>57</v>
      </c>
      <c r="K6" t="s">
        <v>55</v>
      </c>
      <c r="L6" t="s">
        <v>61</v>
      </c>
      <c r="M6" t="s">
        <v>29</v>
      </c>
      <c r="S6" t="s">
        <v>26</v>
      </c>
      <c r="T6" t="s">
        <v>30</v>
      </c>
      <c r="U6" t="s">
        <v>52</v>
      </c>
      <c r="Z6" t="s">
        <v>62</v>
      </c>
      <c r="AA6" t="s">
        <v>32</v>
      </c>
      <c r="AB6" t="s">
        <v>32</v>
      </c>
    </row>
    <row r="7" spans="1:28" x14ac:dyDescent="0.3">
      <c r="C7" t="s">
        <v>31</v>
      </c>
      <c r="D7" t="s">
        <v>31</v>
      </c>
      <c r="L7" t="s">
        <v>31</v>
      </c>
      <c r="M7" t="s">
        <v>31</v>
      </c>
      <c r="T7" t="s">
        <v>51</v>
      </c>
      <c r="U7" t="s">
        <v>53</v>
      </c>
      <c r="AA7" t="s">
        <v>31</v>
      </c>
      <c r="AB7" t="s">
        <v>31</v>
      </c>
    </row>
    <row r="8" spans="1:28" x14ac:dyDescent="0.3">
      <c r="T8" t="s">
        <v>31</v>
      </c>
      <c r="U8" t="s">
        <v>31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Calculation</vt:lpstr>
      <vt:lpstr>Hintergrund</vt:lpstr>
      <vt:lpstr>Drohnentyp</vt:lpstr>
      <vt:lpstr>Höhenmessfehler</vt:lpstr>
    </vt:vector>
  </TitlesOfParts>
  <Company>Luftfahrt-Bundesamt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Tool zur Berechnung von FG CV und GRB nach Leitfaden</dc:title>
  <dc:creator>Luftfahrt-Bundesamt</dc:creator>
  <cp:lastModifiedBy>Droździkowska Aleksandra</cp:lastModifiedBy>
  <cp:lastPrinted>2022-11-15T12:22:52Z</cp:lastPrinted>
  <dcterms:created xsi:type="dcterms:W3CDTF">2022-11-07T14:44:48Z</dcterms:created>
  <dcterms:modified xsi:type="dcterms:W3CDTF">2024-12-01T20:12:39Z</dcterms:modified>
</cp:coreProperties>
</file>